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4355" windowHeight="4635" firstSheet="14" activeTab="19"/>
  </bookViews>
  <sheets>
    <sheet name="table A1" sheetId="1" r:id="rId1"/>
    <sheet name="table A2" sheetId="2" r:id="rId2"/>
    <sheet name="table A3" sheetId="3" r:id="rId3"/>
    <sheet name="table A4" sheetId="4" r:id="rId4"/>
    <sheet name="table A5" sheetId="5" r:id="rId5"/>
    <sheet name="table A6" sheetId="6" r:id="rId6"/>
    <sheet name="table A7" sheetId="7" r:id="rId7"/>
    <sheet name="table A8" sheetId="8" r:id="rId8"/>
    <sheet name="table A9" sheetId="9" r:id="rId9"/>
    <sheet name="table A10" sheetId="10" r:id="rId10"/>
    <sheet name="table SA2" sheetId="11" r:id="rId11"/>
    <sheet name="table SA18" sheetId="12" r:id="rId12"/>
    <sheet name="table SA19" sheetId="13" r:id="rId13"/>
    <sheet name="table SA21" sheetId="14" r:id="rId14"/>
    <sheet name="table SA34a" sheetId="15" r:id="rId15"/>
    <sheet name="table SA34b" sheetId="16" r:id="rId16"/>
    <sheet name="table SA34c" sheetId="17" r:id="rId17"/>
    <sheet name="table SA36" sheetId="18" r:id="rId18"/>
    <sheet name="table SA37" sheetId="19" r:id="rId19"/>
    <sheet name="table SA33" sheetId="20" r:id="rId20"/>
    <sheet name="Sheet1" sheetId="21" r:id="rId21"/>
  </sheets>
  <externalReferences>
    <externalReference r:id="rId22"/>
    <externalReference r:id="rId23"/>
  </externalReferences>
  <definedNames>
    <definedName name="Approve1">'[1]Template names'!$B$100</definedName>
    <definedName name="Approve2">'[1]Template names'!$B$102</definedName>
    <definedName name="Approve3">'[1]Template names'!$B$101</definedName>
    <definedName name="Approve4">'[1]Template names'!$B$103</definedName>
    <definedName name="Approve6">'[1]Template names'!$B$105</definedName>
    <definedName name="Approve7">'[2]Template names'!$B$106</definedName>
    <definedName name="Approve8">'[2]Template names'!$B$107</definedName>
    <definedName name="desc">'[1]Template names'!$B$30</definedName>
    <definedName name="GrantNatCapex">'[2]Lookup and lists'!$AB$2:$AB$9</definedName>
    <definedName name="GrantNatOpex">'[2]Lookup and lists'!$Z$2:$Z$13</definedName>
    <definedName name="GrantProvOpex">'[2]Lookup and lists'!$AA$2:$AA$6</definedName>
    <definedName name="Head1">'[1]Template names'!$B$2</definedName>
    <definedName name="Head10">'[1]Template names'!$B$16</definedName>
    <definedName name="Head11">'[1]Template names'!$B$17</definedName>
    <definedName name="Head12">'[1]Template names'!$B$18</definedName>
    <definedName name="Head13">'[1]Template names'!$B$19</definedName>
    <definedName name="Head14">'[1]Template names'!$B$20</definedName>
    <definedName name="Head15">'[1]Template names'!$B$21</definedName>
    <definedName name="Head16">'[1]Template names'!$B$22</definedName>
    <definedName name="Head17">'[1]Template names'!$B$23</definedName>
    <definedName name="Head18">'[1]Template names'!$B$24</definedName>
    <definedName name="Head19">'[1]Template names'!$B$25</definedName>
    <definedName name="head1A">'[1]Template names'!$B$3</definedName>
    <definedName name="head1b">'[1]Template names'!$B$4</definedName>
    <definedName name="Head2">'[1]Template names'!$B$5</definedName>
    <definedName name="Head20">'[1]Template names'!$B$26</definedName>
    <definedName name="Head21">'[1]Template names'!$B$27</definedName>
    <definedName name="Head22">'[1]Template names'!$B$28</definedName>
    <definedName name="Head23">'[1]Template names'!$B$29</definedName>
    <definedName name="head27">'[1]Template names'!$B$33</definedName>
    <definedName name="head27a">'[1]Template names'!$B$34</definedName>
    <definedName name="Head3">'[1]Template names'!$B$7</definedName>
    <definedName name="Head4">'[1]Template names'!$B$8</definedName>
    <definedName name="Head5">'[1]Template names'!$B$9</definedName>
    <definedName name="Head5b">'[1]Template names'!$B$11</definedName>
    <definedName name="Head6">'[1]Template names'!$B$12</definedName>
    <definedName name="Head7">'[1]Template names'!$B$13</definedName>
    <definedName name="Head8">'[1]Template names'!$B$14</definedName>
    <definedName name="Head9">'[1]Template names'!$B$15</definedName>
    <definedName name="muni">'[1]Template names'!$B$93</definedName>
    <definedName name="result">'[1]Template names'!$B$35</definedName>
    <definedName name="TableA18">'[2]Template names'!$B$129</definedName>
    <definedName name="TableA19">'[2]Template names'!$B$130</definedName>
    <definedName name="TableA2">'[1]Template names'!$B$112</definedName>
    <definedName name="Vdesc">'[1]Template names'!$B$32</definedName>
  </definedNames>
  <calcPr calcId="125725"/>
</workbook>
</file>

<file path=xl/calcChain.xml><?xml version="1.0" encoding="utf-8"?>
<calcChain xmlns="http://schemas.openxmlformats.org/spreadsheetml/2006/main">
  <c r="A50" i="13"/>
  <c r="K45"/>
  <c r="J45"/>
  <c r="I45"/>
  <c r="A45"/>
  <c r="K44"/>
  <c r="J44"/>
  <c r="I44"/>
  <c r="H44"/>
  <c r="G44"/>
  <c r="F44"/>
  <c r="E44"/>
  <c r="D44"/>
  <c r="C44"/>
  <c r="A44"/>
  <c r="A42"/>
  <c r="K41"/>
  <c r="J41"/>
  <c r="I41"/>
  <c r="H41"/>
  <c r="G41"/>
  <c r="F41"/>
  <c r="E41"/>
  <c r="D41"/>
  <c r="C41"/>
  <c r="A41"/>
  <c r="A40"/>
  <c r="K39"/>
  <c r="J39"/>
  <c r="I39"/>
  <c r="H39"/>
  <c r="G39"/>
  <c r="F39"/>
  <c r="E39"/>
  <c r="D39"/>
  <c r="C39"/>
  <c r="A39"/>
  <c r="A38"/>
  <c r="A37"/>
  <c r="A36"/>
  <c r="A35"/>
  <c r="A34"/>
  <c r="A33"/>
  <c r="K32"/>
  <c r="K47" s="1"/>
  <c r="J32"/>
  <c r="J47" s="1"/>
  <c r="I32"/>
  <c r="I47" s="1"/>
  <c r="H32"/>
  <c r="H47" s="1"/>
  <c r="G32"/>
  <c r="G47" s="1"/>
  <c r="F32"/>
  <c r="F47" s="1"/>
  <c r="E32"/>
  <c r="E47" s="1"/>
  <c r="D32"/>
  <c r="D47" s="1"/>
  <c r="C32"/>
  <c r="C47" s="1"/>
  <c r="A32"/>
  <c r="K27"/>
  <c r="J27"/>
  <c r="I27"/>
  <c r="A27"/>
  <c r="K26"/>
  <c r="J26"/>
  <c r="I26"/>
  <c r="H26"/>
  <c r="G26"/>
  <c r="F26"/>
  <c r="E26"/>
  <c r="D26"/>
  <c r="C26"/>
  <c r="A26"/>
  <c r="A24"/>
  <c r="K23"/>
  <c r="J23"/>
  <c r="I23"/>
  <c r="H23"/>
  <c r="G23"/>
  <c r="F23"/>
  <c r="E23"/>
  <c r="D23"/>
  <c r="C23"/>
  <c r="A23"/>
  <c r="A22"/>
  <c r="A20"/>
  <c r="A18"/>
  <c r="A17"/>
  <c r="K16"/>
  <c r="J16"/>
  <c r="I16"/>
  <c r="H16"/>
  <c r="G16"/>
  <c r="F16"/>
  <c r="E16"/>
  <c r="D16"/>
  <c r="C16"/>
  <c r="A16"/>
  <c r="A15"/>
  <c r="A13"/>
  <c r="A12"/>
  <c r="A11"/>
  <c r="A10"/>
  <c r="A9"/>
  <c r="H8"/>
  <c r="G8"/>
  <c r="F8"/>
  <c r="A8"/>
  <c r="K7"/>
  <c r="K29" s="1"/>
  <c r="K49" s="1"/>
  <c r="J7"/>
  <c r="J29" s="1"/>
  <c r="J49" s="1"/>
  <c r="I7"/>
  <c r="I29" s="1"/>
  <c r="H7"/>
  <c r="H29" s="1"/>
  <c r="H49" s="1"/>
  <c r="G7"/>
  <c r="G29" s="1"/>
  <c r="G49" s="1"/>
  <c r="F7"/>
  <c r="F29" s="1"/>
  <c r="F49" s="1"/>
  <c r="E7"/>
  <c r="E29" s="1"/>
  <c r="D7"/>
  <c r="D29" s="1"/>
  <c r="D49" s="1"/>
  <c r="C7"/>
  <c r="C29" s="1"/>
  <c r="C49" s="1"/>
  <c r="A7"/>
  <c r="K3"/>
  <c r="J3"/>
  <c r="I3"/>
  <c r="H3"/>
  <c r="G3"/>
  <c r="F3"/>
  <c r="E3"/>
  <c r="D3"/>
  <c r="C3"/>
  <c r="I2"/>
  <c r="F2"/>
  <c r="E2"/>
  <c r="D2"/>
  <c r="C2"/>
  <c r="B2"/>
  <c r="A2"/>
  <c r="A1"/>
  <c r="K44" i="12"/>
  <c r="J44"/>
  <c r="I44"/>
  <c r="H44"/>
  <c r="G44"/>
  <c r="F44"/>
  <c r="E44"/>
  <c r="D44"/>
  <c r="C44"/>
  <c r="A44"/>
  <c r="A42"/>
  <c r="K41"/>
  <c r="J41"/>
  <c r="I41"/>
  <c r="H41"/>
  <c r="G41"/>
  <c r="F41"/>
  <c r="E41"/>
  <c r="E47" s="1"/>
  <c r="D41"/>
  <c r="C41"/>
  <c r="A41"/>
  <c r="K39"/>
  <c r="J39"/>
  <c r="I39"/>
  <c r="H39"/>
  <c r="G39"/>
  <c r="F39"/>
  <c r="E39"/>
  <c r="D39"/>
  <c r="C39"/>
  <c r="A39"/>
  <c r="K33"/>
  <c r="J33"/>
  <c r="J32" s="1"/>
  <c r="J47" s="1"/>
  <c r="I33"/>
  <c r="I32" s="1"/>
  <c r="I47" s="1"/>
  <c r="K32"/>
  <c r="H32"/>
  <c r="G32"/>
  <c r="G47" s="1"/>
  <c r="F32"/>
  <c r="E32"/>
  <c r="D32"/>
  <c r="C32"/>
  <c r="C47" s="1"/>
  <c r="A32"/>
  <c r="K26"/>
  <c r="J26"/>
  <c r="I26"/>
  <c r="H26"/>
  <c r="G26"/>
  <c r="F26"/>
  <c r="E26"/>
  <c r="D26"/>
  <c r="C26"/>
  <c r="K23"/>
  <c r="J23"/>
  <c r="I23"/>
  <c r="H23"/>
  <c r="G23"/>
  <c r="F23"/>
  <c r="E23"/>
  <c r="D23"/>
  <c r="C23"/>
  <c r="B20"/>
  <c r="B19"/>
  <c r="B18"/>
  <c r="B17"/>
  <c r="K16"/>
  <c r="J16"/>
  <c r="I16"/>
  <c r="I29" s="1"/>
  <c r="I48" s="1"/>
  <c r="H16"/>
  <c r="G16"/>
  <c r="F16"/>
  <c r="E16"/>
  <c r="E29" s="1"/>
  <c r="E48" s="1"/>
  <c r="D16"/>
  <c r="C16"/>
  <c r="B13"/>
  <c r="B12"/>
  <c r="B11"/>
  <c r="B10"/>
  <c r="B9"/>
  <c r="B8"/>
  <c r="K7"/>
  <c r="J7"/>
  <c r="J29" s="1"/>
  <c r="I7"/>
  <c r="H7"/>
  <c r="H29" s="1"/>
  <c r="G7"/>
  <c r="F7"/>
  <c r="F29" s="1"/>
  <c r="E7"/>
  <c r="D7"/>
  <c r="D29" s="1"/>
  <c r="C7"/>
  <c r="K3"/>
  <c r="J3"/>
  <c r="I3"/>
  <c r="H3"/>
  <c r="G3"/>
  <c r="F3"/>
  <c r="E3"/>
  <c r="D3"/>
  <c r="C3"/>
  <c r="I2"/>
  <c r="F2"/>
  <c r="E2"/>
  <c r="D2"/>
  <c r="C2"/>
  <c r="B2"/>
  <c r="A2"/>
  <c r="A1"/>
  <c r="A42" i="11"/>
  <c r="Q41"/>
  <c r="A41"/>
  <c r="Q40"/>
  <c r="A40"/>
  <c r="Q39"/>
  <c r="A39"/>
  <c r="A38"/>
  <c r="P36"/>
  <c r="O36"/>
  <c r="N36"/>
  <c r="M36"/>
  <c r="L36"/>
  <c r="K36"/>
  <c r="J36"/>
  <c r="I36"/>
  <c r="H36"/>
  <c r="G36"/>
  <c r="F36"/>
  <c r="E36"/>
  <c r="D36"/>
  <c r="C36"/>
  <c r="B36"/>
  <c r="Q35"/>
  <c r="A35"/>
  <c r="D34"/>
  <c r="Q34" s="1"/>
  <c r="A34"/>
  <c r="Q33"/>
  <c r="A33"/>
  <c r="Q32"/>
  <c r="A32"/>
  <c r="Q31"/>
  <c r="A31"/>
  <c r="Q30"/>
  <c r="A30"/>
  <c r="Q29"/>
  <c r="A29"/>
  <c r="Q28"/>
  <c r="A28"/>
  <c r="Q27"/>
  <c r="A27"/>
  <c r="Q26"/>
  <c r="A26"/>
  <c r="Q25"/>
  <c r="A25"/>
  <c r="A24"/>
  <c r="P22"/>
  <c r="O22"/>
  <c r="O38" s="1"/>
  <c r="O42" s="1"/>
  <c r="N22"/>
  <c r="N38" s="1"/>
  <c r="N42" s="1"/>
  <c r="M22"/>
  <c r="L22"/>
  <c r="K22"/>
  <c r="K38" s="1"/>
  <c r="K42" s="1"/>
  <c r="J22"/>
  <c r="J38" s="1"/>
  <c r="J42" s="1"/>
  <c r="I22"/>
  <c r="H22"/>
  <c r="G22"/>
  <c r="F22"/>
  <c r="F38" s="1"/>
  <c r="F42" s="1"/>
  <c r="E22"/>
  <c r="D22"/>
  <c r="C22"/>
  <c r="B22"/>
  <c r="B38" s="1"/>
  <c r="B42" s="1"/>
  <c r="A22"/>
  <c r="Q21"/>
  <c r="A21"/>
  <c r="Q20"/>
  <c r="A20"/>
  <c r="Q19"/>
  <c r="A19"/>
  <c r="Q18"/>
  <c r="A18"/>
  <c r="Q17"/>
  <c r="A17"/>
  <c r="Q16"/>
  <c r="A16"/>
  <c r="Q15"/>
  <c r="A15"/>
  <c r="Q14"/>
  <c r="A14"/>
  <c r="Q13"/>
  <c r="A13"/>
  <c r="Q12"/>
  <c r="A12"/>
  <c r="Q11"/>
  <c r="A11"/>
  <c r="Q10"/>
  <c r="A10"/>
  <c r="Q9"/>
  <c r="A9"/>
  <c r="Q8"/>
  <c r="A8"/>
  <c r="Q7"/>
  <c r="A7"/>
  <c r="Q6"/>
  <c r="A6"/>
  <c r="Q5"/>
  <c r="A5"/>
  <c r="A4"/>
  <c r="P2"/>
  <c r="O2"/>
  <c r="N2"/>
  <c r="M2"/>
  <c r="L2"/>
  <c r="K2"/>
  <c r="J2"/>
  <c r="I2"/>
  <c r="H2"/>
  <c r="G2"/>
  <c r="F2"/>
  <c r="E2"/>
  <c r="D2"/>
  <c r="C2"/>
  <c r="B2"/>
  <c r="A2"/>
  <c r="A1"/>
  <c r="A18" i="8"/>
  <c r="L16"/>
  <c r="K16"/>
  <c r="J16"/>
  <c r="I16"/>
  <c r="H16"/>
  <c r="G16"/>
  <c r="F16"/>
  <c r="E16"/>
  <c r="D16"/>
  <c r="C16"/>
  <c r="L14"/>
  <c r="K14"/>
  <c r="J14"/>
  <c r="I14"/>
  <c r="H14"/>
  <c r="G14"/>
  <c r="F14"/>
  <c r="E14"/>
  <c r="D14"/>
  <c r="C14"/>
  <c r="L12"/>
  <c r="K12"/>
  <c r="J12"/>
  <c r="H12"/>
  <c r="G12"/>
  <c r="F12"/>
  <c r="E12"/>
  <c r="D12"/>
  <c r="C12"/>
  <c r="L11"/>
  <c r="L18" s="1"/>
  <c r="K11"/>
  <c r="K18" s="1"/>
  <c r="J11"/>
  <c r="J18" s="1"/>
  <c r="I11"/>
  <c r="I18" s="1"/>
  <c r="H11"/>
  <c r="H18" s="1"/>
  <c r="G11"/>
  <c r="G18" s="1"/>
  <c r="F11"/>
  <c r="F18" s="1"/>
  <c r="E11"/>
  <c r="E18" s="1"/>
  <c r="D11"/>
  <c r="D18" s="1"/>
  <c r="C11"/>
  <c r="C18" s="1"/>
  <c r="A11"/>
  <c r="I8"/>
  <c r="I19" s="1"/>
  <c r="E8"/>
  <c r="L7"/>
  <c r="K7"/>
  <c r="J7"/>
  <c r="I7"/>
  <c r="H7"/>
  <c r="G7"/>
  <c r="F7"/>
  <c r="E7"/>
  <c r="D7"/>
  <c r="C7"/>
  <c r="A7"/>
  <c r="L6"/>
  <c r="K6"/>
  <c r="J6"/>
  <c r="J8" s="1"/>
  <c r="J19" s="1"/>
  <c r="I6"/>
  <c r="H6"/>
  <c r="G6"/>
  <c r="F6"/>
  <c r="F8" s="1"/>
  <c r="F19" s="1"/>
  <c r="E6"/>
  <c r="D6"/>
  <c r="C6"/>
  <c r="L5"/>
  <c r="L8" s="1"/>
  <c r="L19" s="1"/>
  <c r="K5"/>
  <c r="K8" s="1"/>
  <c r="J5"/>
  <c r="I5"/>
  <c r="H5"/>
  <c r="H8" s="1"/>
  <c r="H19" s="1"/>
  <c r="G5"/>
  <c r="G8" s="1"/>
  <c r="F5"/>
  <c r="E5"/>
  <c r="D5"/>
  <c r="D8" s="1"/>
  <c r="D19" s="1"/>
  <c r="C5"/>
  <c r="C8" s="1"/>
  <c r="A5"/>
  <c r="L3"/>
  <c r="K3"/>
  <c r="J3"/>
  <c r="I3"/>
  <c r="H3"/>
  <c r="G3"/>
  <c r="F3"/>
  <c r="E3"/>
  <c r="D3"/>
  <c r="C3"/>
  <c r="J2"/>
  <c r="F2"/>
  <c r="E2"/>
  <c r="D2"/>
  <c r="C2"/>
  <c r="B2"/>
  <c r="A2"/>
  <c r="A1"/>
  <c r="H37" i="7"/>
  <c r="K34"/>
  <c r="J34"/>
  <c r="I34"/>
  <c r="H34"/>
  <c r="G34"/>
  <c r="F34"/>
  <c r="E34"/>
  <c r="D34"/>
  <c r="C34"/>
  <c r="B34"/>
  <c r="B30"/>
  <c r="K25"/>
  <c r="J25"/>
  <c r="I25"/>
  <c r="H25"/>
  <c r="G25"/>
  <c r="F25"/>
  <c r="E25"/>
  <c r="D25"/>
  <c r="C25"/>
  <c r="B25"/>
  <c r="K15"/>
  <c r="J15"/>
  <c r="I15"/>
  <c r="I36" s="1"/>
  <c r="H15"/>
  <c r="G15"/>
  <c r="F15"/>
  <c r="E15"/>
  <c r="E36" s="1"/>
  <c r="D15"/>
  <c r="C15"/>
  <c r="B15"/>
  <c r="K3"/>
  <c r="J3"/>
  <c r="I3"/>
  <c r="H3"/>
  <c r="G3"/>
  <c r="F3"/>
  <c r="E3"/>
  <c r="D3"/>
  <c r="C3"/>
  <c r="B3"/>
  <c r="I2"/>
  <c r="E2"/>
  <c r="D2"/>
  <c r="C2"/>
  <c r="B2"/>
  <c r="A2"/>
  <c r="A1"/>
  <c r="K46" i="6"/>
  <c r="K48" s="1"/>
  <c r="J46"/>
  <c r="J48" s="1"/>
  <c r="I46"/>
  <c r="I48" s="1"/>
  <c r="H46"/>
  <c r="H48" s="1"/>
  <c r="G46"/>
  <c r="G48" s="1"/>
  <c r="F46"/>
  <c r="F48" s="1"/>
  <c r="E46"/>
  <c r="E48" s="1"/>
  <c r="D46"/>
  <c r="D48" s="1"/>
  <c r="C46"/>
  <c r="C48" s="1"/>
  <c r="B46"/>
  <c r="B48" s="1"/>
  <c r="K38"/>
  <c r="J38"/>
  <c r="I38"/>
  <c r="H38"/>
  <c r="G38"/>
  <c r="F38"/>
  <c r="E38"/>
  <c r="D38"/>
  <c r="C38"/>
  <c r="B38"/>
  <c r="K37"/>
  <c r="J37"/>
  <c r="J39" s="1"/>
  <c r="I37"/>
  <c r="I39" s="1"/>
  <c r="H37"/>
  <c r="G37"/>
  <c r="F37"/>
  <c r="F39" s="1"/>
  <c r="E37"/>
  <c r="E39" s="1"/>
  <c r="D37"/>
  <c r="C37"/>
  <c r="B37"/>
  <c r="B39" s="1"/>
  <c r="F34"/>
  <c r="B34"/>
  <c r="K33"/>
  <c r="J33"/>
  <c r="J34" s="1"/>
  <c r="I33"/>
  <c r="K32"/>
  <c r="J32"/>
  <c r="I32"/>
  <c r="H32"/>
  <c r="G32"/>
  <c r="F32"/>
  <c r="E32"/>
  <c r="D32"/>
  <c r="C32"/>
  <c r="B32"/>
  <c r="K30"/>
  <c r="J30"/>
  <c r="I30"/>
  <c r="I34" s="1"/>
  <c r="H30"/>
  <c r="H34" s="1"/>
  <c r="G30"/>
  <c r="F30"/>
  <c r="E30"/>
  <c r="E34" s="1"/>
  <c r="D30"/>
  <c r="D34" s="1"/>
  <c r="C30"/>
  <c r="B30"/>
  <c r="K19"/>
  <c r="K24" s="1"/>
  <c r="J19"/>
  <c r="J24" s="1"/>
  <c r="I19"/>
  <c r="I24" s="1"/>
  <c r="H19"/>
  <c r="H24" s="1"/>
  <c r="G19"/>
  <c r="G24" s="1"/>
  <c r="F19"/>
  <c r="F24" s="1"/>
  <c r="E19"/>
  <c r="E24" s="1"/>
  <c r="D19"/>
  <c r="D24" s="1"/>
  <c r="C19"/>
  <c r="C24" s="1"/>
  <c r="B19"/>
  <c r="B24" s="1"/>
  <c r="K8"/>
  <c r="J8"/>
  <c r="I8"/>
  <c r="H8"/>
  <c r="G8"/>
  <c r="F8"/>
  <c r="E8"/>
  <c r="D8"/>
  <c r="C8"/>
  <c r="B8"/>
  <c r="K7"/>
  <c r="J7"/>
  <c r="J12" s="1"/>
  <c r="J25" s="1"/>
  <c r="I7"/>
  <c r="I12" s="1"/>
  <c r="H7"/>
  <c r="H12" s="1"/>
  <c r="H25" s="1"/>
  <c r="G7"/>
  <c r="F7"/>
  <c r="F12" s="1"/>
  <c r="F25" s="1"/>
  <c r="E7"/>
  <c r="E12" s="1"/>
  <c r="D7"/>
  <c r="D12" s="1"/>
  <c r="D25" s="1"/>
  <c r="C7"/>
  <c r="B7"/>
  <c r="B12" s="1"/>
  <c r="B25" s="1"/>
  <c r="K6"/>
  <c r="K12" s="1"/>
  <c r="K3"/>
  <c r="J3"/>
  <c r="I3"/>
  <c r="H3"/>
  <c r="G3"/>
  <c r="F3"/>
  <c r="E3"/>
  <c r="D3"/>
  <c r="C3"/>
  <c r="B3"/>
  <c r="I2"/>
  <c r="E2"/>
  <c r="D2"/>
  <c r="C2"/>
  <c r="B2"/>
  <c r="A2"/>
  <c r="A1"/>
  <c r="W48" i="4"/>
  <c r="V48"/>
  <c r="U48"/>
  <c r="T48"/>
  <c r="S48"/>
  <c r="R48"/>
  <c r="Q48"/>
  <c r="P48"/>
  <c r="O48"/>
  <c r="N48"/>
  <c r="M48"/>
  <c r="L48"/>
  <c r="A48"/>
  <c r="H47"/>
  <c r="H45"/>
  <c r="H43"/>
  <c r="K40"/>
  <c r="J40"/>
  <c r="I40"/>
  <c r="H40"/>
  <c r="G40"/>
  <c r="F40"/>
  <c r="E40"/>
  <c r="D40"/>
  <c r="C40"/>
  <c r="B40"/>
  <c r="W36"/>
  <c r="V36"/>
  <c r="U36"/>
  <c r="T36"/>
  <c r="S36"/>
  <c r="R36"/>
  <c r="Q36"/>
  <c r="P36"/>
  <c r="O36"/>
  <c r="N36"/>
  <c r="M36"/>
  <c r="L36"/>
  <c r="H35"/>
  <c r="K34"/>
  <c r="J34"/>
  <c r="I34"/>
  <c r="H34"/>
  <c r="G34"/>
  <c r="F34"/>
  <c r="E34"/>
  <c r="D34"/>
  <c r="C34"/>
  <c r="B34"/>
  <c r="K33"/>
  <c r="J33"/>
  <c r="I33"/>
  <c r="H33"/>
  <c r="G33"/>
  <c r="F33"/>
  <c r="E33"/>
  <c r="D33"/>
  <c r="C33"/>
  <c r="B33"/>
  <c r="K32"/>
  <c r="J32"/>
  <c r="I32"/>
  <c r="H32"/>
  <c r="G32"/>
  <c r="F32"/>
  <c r="E32"/>
  <c r="D32"/>
  <c r="C32"/>
  <c r="B32"/>
  <c r="H31"/>
  <c r="K30"/>
  <c r="J30"/>
  <c r="I30"/>
  <c r="H30"/>
  <c r="G30"/>
  <c r="F30"/>
  <c r="E30"/>
  <c r="D30"/>
  <c r="C30"/>
  <c r="B30"/>
  <c r="K28"/>
  <c r="J28"/>
  <c r="I28"/>
  <c r="H28"/>
  <c r="G28"/>
  <c r="F28"/>
  <c r="E28"/>
  <c r="D28"/>
  <c r="C28"/>
  <c r="B28"/>
  <c r="K25"/>
  <c r="J25"/>
  <c r="I25"/>
  <c r="I36" s="1"/>
  <c r="H25"/>
  <c r="G25"/>
  <c r="F25"/>
  <c r="E25"/>
  <c r="E36" s="1"/>
  <c r="D25"/>
  <c r="C25"/>
  <c r="B25"/>
  <c r="W22"/>
  <c r="W38" s="1"/>
  <c r="V22"/>
  <c r="V38" s="1"/>
  <c r="U22"/>
  <c r="T22"/>
  <c r="S22"/>
  <c r="S38" s="1"/>
  <c r="R22"/>
  <c r="R38" s="1"/>
  <c r="Q22"/>
  <c r="P22"/>
  <c r="O22"/>
  <c r="O38" s="1"/>
  <c r="N22"/>
  <c r="N38" s="1"/>
  <c r="M22"/>
  <c r="L22"/>
  <c r="K20"/>
  <c r="J20"/>
  <c r="I20"/>
  <c r="H20"/>
  <c r="G20"/>
  <c r="F20"/>
  <c r="E20"/>
  <c r="D20"/>
  <c r="C20"/>
  <c r="B20"/>
  <c r="K10"/>
  <c r="J10"/>
  <c r="I10"/>
  <c r="H10"/>
  <c r="G10"/>
  <c r="F10"/>
  <c r="E10"/>
  <c r="D10"/>
  <c r="C10"/>
  <c r="B10"/>
  <c r="K9"/>
  <c r="J9"/>
  <c r="I9"/>
  <c r="H9"/>
  <c r="G9"/>
  <c r="F9"/>
  <c r="E9"/>
  <c r="D9"/>
  <c r="C9"/>
  <c r="B9"/>
  <c r="K8"/>
  <c r="J8"/>
  <c r="I8"/>
  <c r="H8"/>
  <c r="G8"/>
  <c r="F8"/>
  <c r="E8"/>
  <c r="D8"/>
  <c r="C8"/>
  <c r="B8"/>
  <c r="K7"/>
  <c r="J7"/>
  <c r="I7"/>
  <c r="H7"/>
  <c r="G7"/>
  <c r="F7"/>
  <c r="E7"/>
  <c r="D7"/>
  <c r="C7"/>
  <c r="B7"/>
  <c r="K5"/>
  <c r="J5"/>
  <c r="I5"/>
  <c r="I22" s="1"/>
  <c r="H5"/>
  <c r="H22" s="1"/>
  <c r="G5"/>
  <c r="F5"/>
  <c r="E5"/>
  <c r="E22" s="1"/>
  <c r="D5"/>
  <c r="D22" s="1"/>
  <c r="C5"/>
  <c r="B5"/>
  <c r="W3"/>
  <c r="V3"/>
  <c r="U3"/>
  <c r="T3"/>
  <c r="S3"/>
  <c r="R3"/>
  <c r="Q3"/>
  <c r="P3"/>
  <c r="O3"/>
  <c r="N3"/>
  <c r="M3"/>
  <c r="L3"/>
  <c r="K3"/>
  <c r="J3"/>
  <c r="I3"/>
  <c r="H3"/>
  <c r="G3"/>
  <c r="F3"/>
  <c r="E3"/>
  <c r="D3"/>
  <c r="C3"/>
  <c r="B3"/>
  <c r="L2"/>
  <c r="I2"/>
  <c r="E2"/>
  <c r="D2"/>
  <c r="C2"/>
  <c r="B2"/>
  <c r="A2"/>
  <c r="A1"/>
  <c r="A39" i="3"/>
  <c r="V38"/>
  <c r="V39" s="1"/>
  <c r="U38"/>
  <c r="U39" s="1"/>
  <c r="T38"/>
  <c r="T39" s="1"/>
  <c r="S38"/>
  <c r="S39" s="1"/>
  <c r="R38"/>
  <c r="R39" s="1"/>
  <c r="Q38"/>
  <c r="Q39" s="1"/>
  <c r="P38"/>
  <c r="P39" s="1"/>
  <c r="O38"/>
  <c r="O39" s="1"/>
  <c r="N38"/>
  <c r="N39" s="1"/>
  <c r="M38"/>
  <c r="M39" s="1"/>
  <c r="L38"/>
  <c r="L39" s="1"/>
  <c r="K38"/>
  <c r="K39" s="1"/>
  <c r="K37"/>
  <c r="J37"/>
  <c r="I37"/>
  <c r="H37"/>
  <c r="G37"/>
  <c r="F37"/>
  <c r="E37"/>
  <c r="D37"/>
  <c r="C37"/>
  <c r="B37"/>
  <c r="A37"/>
  <c r="K36"/>
  <c r="J36"/>
  <c r="I36"/>
  <c r="H36"/>
  <c r="G36"/>
  <c r="F36"/>
  <c r="E36"/>
  <c r="D36"/>
  <c r="C36"/>
  <c r="B36"/>
  <c r="A36"/>
  <c r="K35"/>
  <c r="J35"/>
  <c r="I35"/>
  <c r="H35"/>
  <c r="G35"/>
  <c r="F35"/>
  <c r="E35"/>
  <c r="D35"/>
  <c r="C35"/>
  <c r="B35"/>
  <c r="A35"/>
  <c r="K34"/>
  <c r="J34"/>
  <c r="I34"/>
  <c r="H34"/>
  <c r="G34"/>
  <c r="F34"/>
  <c r="E34"/>
  <c r="D34"/>
  <c r="C34"/>
  <c r="B34"/>
  <c r="A34"/>
  <c r="K33"/>
  <c r="J33"/>
  <c r="I33"/>
  <c r="H33"/>
  <c r="G33"/>
  <c r="F33"/>
  <c r="E33"/>
  <c r="D33"/>
  <c r="C33"/>
  <c r="B33"/>
  <c r="A33"/>
  <c r="J32"/>
  <c r="I32"/>
  <c r="H32"/>
  <c r="G32"/>
  <c r="F32"/>
  <c r="E32"/>
  <c r="D32"/>
  <c r="C32"/>
  <c r="B32"/>
  <c r="A32"/>
  <c r="J31"/>
  <c r="I31"/>
  <c r="H31"/>
  <c r="G31"/>
  <c r="F31"/>
  <c r="E31"/>
  <c r="D31"/>
  <c r="C31"/>
  <c r="B31"/>
  <c r="A31"/>
  <c r="J30"/>
  <c r="I30"/>
  <c r="H30"/>
  <c r="G30"/>
  <c r="F30"/>
  <c r="E30"/>
  <c r="D30"/>
  <c r="C30"/>
  <c r="B30"/>
  <c r="A30"/>
  <c r="J29"/>
  <c r="I29"/>
  <c r="H29"/>
  <c r="G29"/>
  <c r="F29"/>
  <c r="E29"/>
  <c r="D29"/>
  <c r="C29"/>
  <c r="B29"/>
  <c r="A29"/>
  <c r="J28"/>
  <c r="I28"/>
  <c r="H28"/>
  <c r="G28"/>
  <c r="F28"/>
  <c r="E28"/>
  <c r="D28"/>
  <c r="C28"/>
  <c r="B28"/>
  <c r="A28"/>
  <c r="J27"/>
  <c r="I27"/>
  <c r="H27"/>
  <c r="G27"/>
  <c r="F27"/>
  <c r="E27"/>
  <c r="D27"/>
  <c r="C27"/>
  <c r="B27"/>
  <c r="A27"/>
  <c r="J26"/>
  <c r="I26"/>
  <c r="H26"/>
  <c r="G26"/>
  <c r="F26"/>
  <c r="E26"/>
  <c r="D26"/>
  <c r="C26"/>
  <c r="B26"/>
  <c r="A26"/>
  <c r="J25"/>
  <c r="I25"/>
  <c r="H25"/>
  <c r="G25"/>
  <c r="F25"/>
  <c r="E25"/>
  <c r="D25"/>
  <c r="C25"/>
  <c r="B25"/>
  <c r="A25"/>
  <c r="J24"/>
  <c r="I24"/>
  <c r="H24"/>
  <c r="G24"/>
  <c r="F24"/>
  <c r="E24"/>
  <c r="D24"/>
  <c r="C24"/>
  <c r="B24"/>
  <c r="A24"/>
  <c r="J23"/>
  <c r="I23"/>
  <c r="H23"/>
  <c r="H38" s="1"/>
  <c r="G23"/>
  <c r="F23"/>
  <c r="E23"/>
  <c r="D23"/>
  <c r="D38" s="1"/>
  <c r="C23"/>
  <c r="B23"/>
  <c r="A23"/>
  <c r="K19"/>
  <c r="J19"/>
  <c r="I19"/>
  <c r="H19"/>
  <c r="G19"/>
  <c r="F19"/>
  <c r="E19"/>
  <c r="D19"/>
  <c r="C19"/>
  <c r="B19"/>
  <c r="A19"/>
  <c r="K18"/>
  <c r="J18"/>
  <c r="I18"/>
  <c r="H18"/>
  <c r="G18"/>
  <c r="F18"/>
  <c r="E18"/>
  <c r="D18"/>
  <c r="C18"/>
  <c r="B18"/>
  <c r="A18"/>
  <c r="K17"/>
  <c r="J17"/>
  <c r="I17"/>
  <c r="H17"/>
  <c r="G17"/>
  <c r="F17"/>
  <c r="E17"/>
  <c r="D17"/>
  <c r="C17"/>
  <c r="B17"/>
  <c r="A17"/>
  <c r="K16"/>
  <c r="J16"/>
  <c r="I16"/>
  <c r="H16"/>
  <c r="G16"/>
  <c r="F16"/>
  <c r="E16"/>
  <c r="D16"/>
  <c r="C16"/>
  <c r="B16"/>
  <c r="A16"/>
  <c r="K15"/>
  <c r="J15"/>
  <c r="I15"/>
  <c r="H15"/>
  <c r="G15"/>
  <c r="F15"/>
  <c r="E15"/>
  <c r="D15"/>
  <c r="C15"/>
  <c r="B15"/>
  <c r="A15"/>
  <c r="J14"/>
  <c r="I14"/>
  <c r="H14"/>
  <c r="G14"/>
  <c r="F14"/>
  <c r="E14"/>
  <c r="D14"/>
  <c r="C14"/>
  <c r="B14"/>
  <c r="A14"/>
  <c r="J13"/>
  <c r="I13"/>
  <c r="H13"/>
  <c r="G13"/>
  <c r="F13"/>
  <c r="E13"/>
  <c r="D13"/>
  <c r="C13"/>
  <c r="B13"/>
  <c r="A13"/>
  <c r="J12"/>
  <c r="I12"/>
  <c r="H12"/>
  <c r="G12"/>
  <c r="F12"/>
  <c r="E12"/>
  <c r="D12"/>
  <c r="C12"/>
  <c r="B12"/>
  <c r="A12"/>
  <c r="J11"/>
  <c r="I11"/>
  <c r="H11"/>
  <c r="G11"/>
  <c r="F11"/>
  <c r="E11"/>
  <c r="D11"/>
  <c r="C11"/>
  <c r="B11"/>
  <c r="A11"/>
  <c r="J10"/>
  <c r="I10"/>
  <c r="H10"/>
  <c r="G10"/>
  <c r="F10"/>
  <c r="E10"/>
  <c r="D10"/>
  <c r="C10"/>
  <c r="B10"/>
  <c r="A10"/>
  <c r="J9"/>
  <c r="I9"/>
  <c r="H9"/>
  <c r="G9"/>
  <c r="F9"/>
  <c r="E9"/>
  <c r="D9"/>
  <c r="C9"/>
  <c r="B9"/>
  <c r="A9"/>
  <c r="J8"/>
  <c r="I8"/>
  <c r="H8"/>
  <c r="G8"/>
  <c r="F8"/>
  <c r="E8"/>
  <c r="D8"/>
  <c r="C8"/>
  <c r="B8"/>
  <c r="A8"/>
  <c r="J7"/>
  <c r="I7"/>
  <c r="H7"/>
  <c r="G7"/>
  <c r="F7"/>
  <c r="E7"/>
  <c r="D7"/>
  <c r="C7"/>
  <c r="B7"/>
  <c r="A7"/>
  <c r="J6"/>
  <c r="I6"/>
  <c r="H6"/>
  <c r="G6"/>
  <c r="F6"/>
  <c r="E6"/>
  <c r="D6"/>
  <c r="C6"/>
  <c r="B6"/>
  <c r="A6"/>
  <c r="J5"/>
  <c r="I5"/>
  <c r="H5"/>
  <c r="G5"/>
  <c r="G20" s="1"/>
  <c r="F5"/>
  <c r="E5"/>
  <c r="D5"/>
  <c r="C5"/>
  <c r="C20" s="1"/>
  <c r="B5"/>
  <c r="A5"/>
  <c r="V3"/>
  <c r="U3"/>
  <c r="T3"/>
  <c r="S3"/>
  <c r="R3"/>
  <c r="Q3"/>
  <c r="P3"/>
  <c r="O3"/>
  <c r="N3"/>
  <c r="M3"/>
  <c r="L3"/>
  <c r="K3"/>
  <c r="J3"/>
  <c r="I3"/>
  <c r="H3"/>
  <c r="G3"/>
  <c r="F3"/>
  <c r="E3"/>
  <c r="D3"/>
  <c r="C3"/>
  <c r="B3"/>
  <c r="K2"/>
  <c r="H2"/>
  <c r="E2"/>
  <c r="D2"/>
  <c r="C2"/>
  <c r="B2"/>
  <c r="A2"/>
  <c r="A1"/>
  <c r="A49" i="2"/>
  <c r="A48"/>
  <c r="J47"/>
  <c r="I47"/>
  <c r="H47"/>
  <c r="G47"/>
  <c r="F47"/>
  <c r="E47"/>
  <c r="D47"/>
  <c r="C47"/>
  <c r="B47"/>
  <c r="A47"/>
  <c r="J46"/>
  <c r="I46"/>
  <c r="H46"/>
  <c r="G46"/>
  <c r="F46"/>
  <c r="E46"/>
  <c r="D46"/>
  <c r="C46"/>
  <c r="B46"/>
  <c r="A46"/>
  <c r="J45"/>
  <c r="I45"/>
  <c r="H45"/>
  <c r="G45"/>
  <c r="F45"/>
  <c r="E45"/>
  <c r="D45"/>
  <c r="C45"/>
  <c r="B45"/>
  <c r="A45"/>
  <c r="J44"/>
  <c r="I44"/>
  <c r="H44"/>
  <c r="G44"/>
  <c r="F44"/>
  <c r="E44"/>
  <c r="E42" s="1"/>
  <c r="D44"/>
  <c r="C44"/>
  <c r="B44"/>
  <c r="A44"/>
  <c r="J43"/>
  <c r="I43"/>
  <c r="H43"/>
  <c r="H42" s="1"/>
  <c r="G43"/>
  <c r="G42" s="1"/>
  <c r="F43"/>
  <c r="E43"/>
  <c r="D43"/>
  <c r="D42" s="1"/>
  <c r="C43"/>
  <c r="C42" s="1"/>
  <c r="B43"/>
  <c r="A43"/>
  <c r="I42"/>
  <c r="A42"/>
  <c r="J41"/>
  <c r="I41"/>
  <c r="H41"/>
  <c r="G41"/>
  <c r="F41"/>
  <c r="E41"/>
  <c r="D41"/>
  <c r="C41"/>
  <c r="B41"/>
  <c r="A41"/>
  <c r="J40"/>
  <c r="I40"/>
  <c r="H40"/>
  <c r="G40"/>
  <c r="F40"/>
  <c r="E40"/>
  <c r="E38" s="1"/>
  <c r="D40"/>
  <c r="C40"/>
  <c r="B40"/>
  <c r="A40"/>
  <c r="J39"/>
  <c r="I39"/>
  <c r="H39"/>
  <c r="G39"/>
  <c r="G38" s="1"/>
  <c r="F39"/>
  <c r="E39"/>
  <c r="D39"/>
  <c r="C39"/>
  <c r="C38" s="1"/>
  <c r="B39"/>
  <c r="A39"/>
  <c r="H38"/>
  <c r="A38"/>
  <c r="J37"/>
  <c r="I37"/>
  <c r="H37"/>
  <c r="G37"/>
  <c r="F37"/>
  <c r="E37"/>
  <c r="D37"/>
  <c r="C37"/>
  <c r="B37"/>
  <c r="A37"/>
  <c r="J36"/>
  <c r="I36"/>
  <c r="H36"/>
  <c r="G36"/>
  <c r="F36"/>
  <c r="E36"/>
  <c r="D36"/>
  <c r="C36"/>
  <c r="B36"/>
  <c r="A36"/>
  <c r="J35"/>
  <c r="I35"/>
  <c r="H35"/>
  <c r="G35"/>
  <c r="F35"/>
  <c r="E35"/>
  <c r="D35"/>
  <c r="C35"/>
  <c r="B35"/>
  <c r="A35"/>
  <c r="J34"/>
  <c r="I34"/>
  <c r="H34"/>
  <c r="G34"/>
  <c r="F34"/>
  <c r="E34"/>
  <c r="D34"/>
  <c r="C34"/>
  <c r="B34"/>
  <c r="A34"/>
  <c r="J33"/>
  <c r="I33"/>
  <c r="H33"/>
  <c r="H32" s="1"/>
  <c r="G33"/>
  <c r="F33"/>
  <c r="E33"/>
  <c r="D33"/>
  <c r="C33"/>
  <c r="B33"/>
  <c r="A33"/>
  <c r="E32"/>
  <c r="A32"/>
  <c r="J31"/>
  <c r="I31"/>
  <c r="H31"/>
  <c r="G31"/>
  <c r="F31"/>
  <c r="E31"/>
  <c r="D31"/>
  <c r="C31"/>
  <c r="B31"/>
  <c r="A31"/>
  <c r="J30"/>
  <c r="I30"/>
  <c r="H30"/>
  <c r="G30"/>
  <c r="F30"/>
  <c r="E30"/>
  <c r="D30"/>
  <c r="C30"/>
  <c r="B30"/>
  <c r="A30"/>
  <c r="J29"/>
  <c r="I29"/>
  <c r="H29"/>
  <c r="H28" s="1"/>
  <c r="H48" s="1"/>
  <c r="G29"/>
  <c r="F29"/>
  <c r="E29"/>
  <c r="D29"/>
  <c r="C29"/>
  <c r="B29"/>
  <c r="A29"/>
  <c r="D28"/>
  <c r="A28"/>
  <c r="A25"/>
  <c r="J24"/>
  <c r="I24"/>
  <c r="H24"/>
  <c r="G24"/>
  <c r="F24"/>
  <c r="E24"/>
  <c r="D24"/>
  <c r="C24"/>
  <c r="B24"/>
  <c r="J23"/>
  <c r="I23"/>
  <c r="H23"/>
  <c r="G23"/>
  <c r="F23"/>
  <c r="F19" s="1"/>
  <c r="E23"/>
  <c r="D23"/>
  <c r="C23"/>
  <c r="B23"/>
  <c r="J22"/>
  <c r="I22"/>
  <c r="H22"/>
  <c r="G22"/>
  <c r="F22"/>
  <c r="E22"/>
  <c r="D22"/>
  <c r="C22"/>
  <c r="B22"/>
  <c r="J21"/>
  <c r="I21"/>
  <c r="H21"/>
  <c r="G21"/>
  <c r="F21"/>
  <c r="E21"/>
  <c r="D21"/>
  <c r="C21"/>
  <c r="B21"/>
  <c r="J20"/>
  <c r="I20"/>
  <c r="I19" s="1"/>
  <c r="H20"/>
  <c r="G20"/>
  <c r="F20"/>
  <c r="E20"/>
  <c r="E19" s="1"/>
  <c r="D20"/>
  <c r="C20"/>
  <c r="B20"/>
  <c r="J19"/>
  <c r="J18"/>
  <c r="I18"/>
  <c r="H18"/>
  <c r="G18"/>
  <c r="F18"/>
  <c r="E18"/>
  <c r="D18"/>
  <c r="C18"/>
  <c r="B18"/>
  <c r="J17"/>
  <c r="I17"/>
  <c r="H17"/>
  <c r="G17"/>
  <c r="F17"/>
  <c r="E17"/>
  <c r="D17"/>
  <c r="C17"/>
  <c r="B17"/>
  <c r="J16"/>
  <c r="I16"/>
  <c r="H16"/>
  <c r="G16"/>
  <c r="F16"/>
  <c r="E16"/>
  <c r="D16"/>
  <c r="C16"/>
  <c r="B16"/>
  <c r="B15"/>
  <c r="J14"/>
  <c r="I14"/>
  <c r="H14"/>
  <c r="G14"/>
  <c r="F14"/>
  <c r="E14"/>
  <c r="D14"/>
  <c r="C14"/>
  <c r="B14"/>
  <c r="J13"/>
  <c r="I13"/>
  <c r="H13"/>
  <c r="G13"/>
  <c r="F13"/>
  <c r="E13"/>
  <c r="D13"/>
  <c r="C13"/>
  <c r="B13"/>
  <c r="J12"/>
  <c r="I12"/>
  <c r="H12"/>
  <c r="G12"/>
  <c r="F12"/>
  <c r="E12"/>
  <c r="D12"/>
  <c r="C12"/>
  <c r="B12"/>
  <c r="J11"/>
  <c r="I11"/>
  <c r="H11"/>
  <c r="G11"/>
  <c r="F11"/>
  <c r="E11"/>
  <c r="D11"/>
  <c r="C11"/>
  <c r="B11"/>
  <c r="J10"/>
  <c r="I10"/>
  <c r="H10"/>
  <c r="G10"/>
  <c r="G9" s="1"/>
  <c r="F10"/>
  <c r="E10"/>
  <c r="D10"/>
  <c r="C10"/>
  <c r="C9" s="1"/>
  <c r="B10"/>
  <c r="J8"/>
  <c r="I8"/>
  <c r="H8"/>
  <c r="G8"/>
  <c r="F8"/>
  <c r="E8"/>
  <c r="D8"/>
  <c r="D5" s="1"/>
  <c r="C8"/>
  <c r="B8"/>
  <c r="J7"/>
  <c r="I7"/>
  <c r="H7"/>
  <c r="G7"/>
  <c r="F7"/>
  <c r="E7"/>
  <c r="D7"/>
  <c r="C7"/>
  <c r="B7"/>
  <c r="J6"/>
  <c r="I6"/>
  <c r="H6"/>
  <c r="G6"/>
  <c r="F6"/>
  <c r="E6"/>
  <c r="D6"/>
  <c r="C6"/>
  <c r="B6"/>
  <c r="J3"/>
  <c r="I3"/>
  <c r="H3"/>
  <c r="G3"/>
  <c r="F3"/>
  <c r="E3"/>
  <c r="D3"/>
  <c r="C3"/>
  <c r="B3"/>
  <c r="H2"/>
  <c r="E2"/>
  <c r="D2"/>
  <c r="C2"/>
  <c r="B2"/>
  <c r="A2"/>
  <c r="A1"/>
  <c r="K65" i="1"/>
  <c r="J65"/>
  <c r="I65"/>
  <c r="H65"/>
  <c r="G65"/>
  <c r="F65"/>
  <c r="E65"/>
  <c r="D65"/>
  <c r="C65"/>
  <c r="B65"/>
  <c r="A65"/>
  <c r="K64"/>
  <c r="J64"/>
  <c r="I64"/>
  <c r="H64"/>
  <c r="G64"/>
  <c r="F64"/>
  <c r="E64"/>
  <c r="D64"/>
  <c r="C64"/>
  <c r="B64"/>
  <c r="A64"/>
  <c r="K63"/>
  <c r="J63"/>
  <c r="I63"/>
  <c r="H63"/>
  <c r="G63"/>
  <c r="F63"/>
  <c r="E63"/>
  <c r="D63"/>
  <c r="C63"/>
  <c r="B63"/>
  <c r="A63"/>
  <c r="K62"/>
  <c r="J62"/>
  <c r="I62"/>
  <c r="H62"/>
  <c r="G62"/>
  <c r="F62"/>
  <c r="E62"/>
  <c r="D62"/>
  <c r="C62"/>
  <c r="B62"/>
  <c r="A62"/>
  <c r="K60"/>
  <c r="J60"/>
  <c r="I60"/>
  <c r="H60"/>
  <c r="G60"/>
  <c r="F60"/>
  <c r="E60"/>
  <c r="D60"/>
  <c r="C60"/>
  <c r="B60"/>
  <c r="K59"/>
  <c r="J59"/>
  <c r="I59"/>
  <c r="H59"/>
  <c r="G59"/>
  <c r="F59"/>
  <c r="E59"/>
  <c r="D59"/>
  <c r="C59"/>
  <c r="B59"/>
  <c r="K56"/>
  <c r="J56"/>
  <c r="I56"/>
  <c r="H56"/>
  <c r="G56"/>
  <c r="F56"/>
  <c r="E56"/>
  <c r="D56"/>
  <c r="C56"/>
  <c r="B56"/>
  <c r="K55"/>
  <c r="J55"/>
  <c r="I55"/>
  <c r="H55"/>
  <c r="G55"/>
  <c r="F55"/>
  <c r="E55"/>
  <c r="D55"/>
  <c r="C55"/>
  <c r="B55"/>
  <c r="K54"/>
  <c r="J54"/>
  <c r="I54"/>
  <c r="H54"/>
  <c r="G54"/>
  <c r="F54"/>
  <c r="E54"/>
  <c r="D54"/>
  <c r="C54"/>
  <c r="B54"/>
  <c r="A54"/>
  <c r="K53"/>
  <c r="J53"/>
  <c r="I53"/>
  <c r="H53"/>
  <c r="G53"/>
  <c r="F53"/>
  <c r="E53"/>
  <c r="D53"/>
  <c r="C53"/>
  <c r="B53"/>
  <c r="J50"/>
  <c r="I50"/>
  <c r="F50"/>
  <c r="E50"/>
  <c r="B50"/>
  <c r="K49"/>
  <c r="J49"/>
  <c r="I49"/>
  <c r="H49"/>
  <c r="G49"/>
  <c r="F49"/>
  <c r="E49"/>
  <c r="D49"/>
  <c r="C49"/>
  <c r="B49"/>
  <c r="A49"/>
  <c r="K48"/>
  <c r="K50" s="1"/>
  <c r="J48"/>
  <c r="I48"/>
  <c r="H48"/>
  <c r="H50" s="1"/>
  <c r="G48"/>
  <c r="G50" s="1"/>
  <c r="F48"/>
  <c r="E48"/>
  <c r="D48"/>
  <c r="D50" s="1"/>
  <c r="C48"/>
  <c r="C50" s="1"/>
  <c r="B48"/>
  <c r="A48"/>
  <c r="K45"/>
  <c r="J45"/>
  <c r="I45"/>
  <c r="H45"/>
  <c r="G45"/>
  <c r="F45"/>
  <c r="E45"/>
  <c r="D45"/>
  <c r="C45"/>
  <c r="B45"/>
  <c r="A45"/>
  <c r="K44"/>
  <c r="J44"/>
  <c r="I44"/>
  <c r="H44"/>
  <c r="G44"/>
  <c r="F44"/>
  <c r="E44"/>
  <c r="D44"/>
  <c r="C44"/>
  <c r="B44"/>
  <c r="K43"/>
  <c r="J43"/>
  <c r="I43"/>
  <c r="H43"/>
  <c r="G43"/>
  <c r="F43"/>
  <c r="E43"/>
  <c r="D43"/>
  <c r="C43"/>
  <c r="B43"/>
  <c r="K42"/>
  <c r="J42"/>
  <c r="I42"/>
  <c r="H42"/>
  <c r="G42"/>
  <c r="F42"/>
  <c r="E42"/>
  <c r="D42"/>
  <c r="C42"/>
  <c r="B42"/>
  <c r="K39"/>
  <c r="J39"/>
  <c r="I39"/>
  <c r="H39"/>
  <c r="G39"/>
  <c r="F39"/>
  <c r="E39"/>
  <c r="D39"/>
  <c r="C39"/>
  <c r="B39"/>
  <c r="K38"/>
  <c r="J38"/>
  <c r="I38"/>
  <c r="H38"/>
  <c r="G38"/>
  <c r="F38"/>
  <c r="E38"/>
  <c r="D38"/>
  <c r="C38"/>
  <c r="B38"/>
  <c r="A38"/>
  <c r="K37"/>
  <c r="J37"/>
  <c r="I37"/>
  <c r="H37"/>
  <c r="G37"/>
  <c r="F37"/>
  <c r="E37"/>
  <c r="D37"/>
  <c r="C37"/>
  <c r="B37"/>
  <c r="A37"/>
  <c r="K36"/>
  <c r="J36"/>
  <c r="I36"/>
  <c r="H36"/>
  <c r="G36"/>
  <c r="F36"/>
  <c r="E36"/>
  <c r="D36"/>
  <c r="C36"/>
  <c r="B36"/>
  <c r="A36"/>
  <c r="K35"/>
  <c r="J35"/>
  <c r="I35"/>
  <c r="H35"/>
  <c r="G35"/>
  <c r="F35"/>
  <c r="E35"/>
  <c r="D35"/>
  <c r="C35"/>
  <c r="B35"/>
  <c r="A35"/>
  <c r="K31"/>
  <c r="J31"/>
  <c r="I31"/>
  <c r="H31"/>
  <c r="G31"/>
  <c r="F31"/>
  <c r="E31"/>
  <c r="D31"/>
  <c r="C31"/>
  <c r="B31"/>
  <c r="A31"/>
  <c r="K30"/>
  <c r="J30"/>
  <c r="I30"/>
  <c r="H30"/>
  <c r="G30"/>
  <c r="F30"/>
  <c r="E30"/>
  <c r="D30"/>
  <c r="C30"/>
  <c r="B30"/>
  <c r="A30"/>
  <c r="K29"/>
  <c r="J29"/>
  <c r="I29"/>
  <c r="I32" s="1"/>
  <c r="H29"/>
  <c r="G29"/>
  <c r="F29"/>
  <c r="E29"/>
  <c r="E32" s="1"/>
  <c r="D29"/>
  <c r="C29"/>
  <c r="B29"/>
  <c r="A29"/>
  <c r="K28"/>
  <c r="K32" s="1"/>
  <c r="J28"/>
  <c r="J32" s="1"/>
  <c r="I28"/>
  <c r="H28"/>
  <c r="H32" s="1"/>
  <c r="G28"/>
  <c r="G32" s="1"/>
  <c r="F28"/>
  <c r="F32" s="1"/>
  <c r="E28"/>
  <c r="D28"/>
  <c r="D32" s="1"/>
  <c r="C28"/>
  <c r="C32" s="1"/>
  <c r="B28"/>
  <c r="B32" s="1"/>
  <c r="K27"/>
  <c r="J27"/>
  <c r="I27"/>
  <c r="H27"/>
  <c r="G27"/>
  <c r="F27"/>
  <c r="E27"/>
  <c r="D27"/>
  <c r="C27"/>
  <c r="B27"/>
  <c r="A24"/>
  <c r="K23"/>
  <c r="J23"/>
  <c r="I23"/>
  <c r="H23"/>
  <c r="G23"/>
  <c r="F23"/>
  <c r="E23"/>
  <c r="D23"/>
  <c r="C23"/>
  <c r="B23"/>
  <c r="A23"/>
  <c r="A22"/>
  <c r="K21"/>
  <c r="J21"/>
  <c r="I21"/>
  <c r="H21"/>
  <c r="G21"/>
  <c r="F21"/>
  <c r="E21"/>
  <c r="D21"/>
  <c r="C21"/>
  <c r="B21"/>
  <c r="K20"/>
  <c r="J20"/>
  <c r="I20"/>
  <c r="H20"/>
  <c r="G20"/>
  <c r="F20"/>
  <c r="E20"/>
  <c r="D20"/>
  <c r="C20"/>
  <c r="B20"/>
  <c r="A20"/>
  <c r="A19"/>
  <c r="I18"/>
  <c r="E18"/>
  <c r="A18"/>
  <c r="K17"/>
  <c r="J17"/>
  <c r="I17"/>
  <c r="H17"/>
  <c r="G17"/>
  <c r="F17"/>
  <c r="E17"/>
  <c r="D17"/>
  <c r="C17"/>
  <c r="B17"/>
  <c r="K16"/>
  <c r="J16"/>
  <c r="I16"/>
  <c r="H16"/>
  <c r="G16"/>
  <c r="F16"/>
  <c r="E16"/>
  <c r="D16"/>
  <c r="C16"/>
  <c r="B16"/>
  <c r="K15"/>
  <c r="J15"/>
  <c r="I15"/>
  <c r="H15"/>
  <c r="G15"/>
  <c r="F15"/>
  <c r="E15"/>
  <c r="D15"/>
  <c r="C15"/>
  <c r="B15"/>
  <c r="K14"/>
  <c r="J14"/>
  <c r="I14"/>
  <c r="H14"/>
  <c r="G14"/>
  <c r="F14"/>
  <c r="E14"/>
  <c r="D14"/>
  <c r="C14"/>
  <c r="B14"/>
  <c r="K13"/>
  <c r="J13"/>
  <c r="I13"/>
  <c r="H13"/>
  <c r="G13"/>
  <c r="F13"/>
  <c r="E13"/>
  <c r="D13"/>
  <c r="C13"/>
  <c r="B13"/>
  <c r="K12"/>
  <c r="J12"/>
  <c r="I12"/>
  <c r="H12"/>
  <c r="G12"/>
  <c r="F12"/>
  <c r="E12"/>
  <c r="D12"/>
  <c r="C12"/>
  <c r="B12"/>
  <c r="K11"/>
  <c r="K18" s="1"/>
  <c r="J11"/>
  <c r="J18" s="1"/>
  <c r="I11"/>
  <c r="H11"/>
  <c r="H18" s="1"/>
  <c r="G11"/>
  <c r="G18" s="1"/>
  <c r="F11"/>
  <c r="F18" s="1"/>
  <c r="E11"/>
  <c r="D11"/>
  <c r="D18" s="1"/>
  <c r="C11"/>
  <c r="C18" s="1"/>
  <c r="B11"/>
  <c r="B18" s="1"/>
  <c r="J10"/>
  <c r="J19" s="1"/>
  <c r="J22" s="1"/>
  <c r="J24" s="1"/>
  <c r="F10"/>
  <c r="F19" s="1"/>
  <c r="F22" s="1"/>
  <c r="F24" s="1"/>
  <c r="B10"/>
  <c r="B19" s="1"/>
  <c r="B22" s="1"/>
  <c r="B24" s="1"/>
  <c r="A10"/>
  <c r="K9"/>
  <c r="J9"/>
  <c r="I9"/>
  <c r="H9"/>
  <c r="G9"/>
  <c r="F9"/>
  <c r="E9"/>
  <c r="D9"/>
  <c r="C9"/>
  <c r="B9"/>
  <c r="K8"/>
  <c r="J8"/>
  <c r="I8"/>
  <c r="H8"/>
  <c r="G8"/>
  <c r="F8"/>
  <c r="E8"/>
  <c r="D8"/>
  <c r="C8"/>
  <c r="B8"/>
  <c r="K7"/>
  <c r="J7"/>
  <c r="I7"/>
  <c r="H7"/>
  <c r="G7"/>
  <c r="F7"/>
  <c r="E7"/>
  <c r="D7"/>
  <c r="C7"/>
  <c r="B7"/>
  <c r="K6"/>
  <c r="J6"/>
  <c r="I6"/>
  <c r="H6"/>
  <c r="G6"/>
  <c r="F6"/>
  <c r="E6"/>
  <c r="D6"/>
  <c r="C6"/>
  <c r="B6"/>
  <c r="K5"/>
  <c r="K10" s="1"/>
  <c r="K19" s="1"/>
  <c r="K22" s="1"/>
  <c r="K24" s="1"/>
  <c r="J5"/>
  <c r="I5"/>
  <c r="I10" s="1"/>
  <c r="I19" s="1"/>
  <c r="I22" s="1"/>
  <c r="I24" s="1"/>
  <c r="H5"/>
  <c r="H10" s="1"/>
  <c r="G5"/>
  <c r="G10" s="1"/>
  <c r="G19" s="1"/>
  <c r="G22" s="1"/>
  <c r="G24" s="1"/>
  <c r="F5"/>
  <c r="E5"/>
  <c r="E10" s="1"/>
  <c r="E19" s="1"/>
  <c r="E22" s="1"/>
  <c r="E24" s="1"/>
  <c r="D5"/>
  <c r="D10" s="1"/>
  <c r="C5"/>
  <c r="C10" s="1"/>
  <c r="C19" s="1"/>
  <c r="C22" s="1"/>
  <c r="C24" s="1"/>
  <c r="B5"/>
  <c r="K3"/>
  <c r="J3"/>
  <c r="I3"/>
  <c r="H3"/>
  <c r="G3"/>
  <c r="F3"/>
  <c r="E3"/>
  <c r="D3"/>
  <c r="C3"/>
  <c r="B3"/>
  <c r="I2"/>
  <c r="E2"/>
  <c r="D2"/>
  <c r="C2"/>
  <c r="B2"/>
  <c r="A2"/>
  <c r="A1"/>
  <c r="E49" i="13" l="1"/>
  <c r="I49"/>
  <c r="F48" i="12"/>
  <c r="C29"/>
  <c r="G29"/>
  <c r="K29"/>
  <c r="K47"/>
  <c r="F47"/>
  <c r="D47"/>
  <c r="H47"/>
  <c r="D48"/>
  <c r="C48"/>
  <c r="G48"/>
  <c r="H48"/>
  <c r="J48"/>
  <c r="E38" i="11"/>
  <c r="E42" s="1"/>
  <c r="I38"/>
  <c r="I42" s="1"/>
  <c r="M38"/>
  <c r="M42" s="1"/>
  <c r="C38"/>
  <c r="C42" s="1"/>
  <c r="G38"/>
  <c r="G42" s="1"/>
  <c r="Q22"/>
  <c r="Q38" s="1"/>
  <c r="Q42" s="1"/>
  <c r="D38"/>
  <c r="D42" s="1"/>
  <c r="H38"/>
  <c r="H42" s="1"/>
  <c r="L38"/>
  <c r="L42" s="1"/>
  <c r="P38"/>
  <c r="P42" s="1"/>
  <c r="Q36"/>
  <c r="C19" i="8"/>
  <c r="G19"/>
  <c r="K19"/>
  <c r="E19"/>
  <c r="D36" i="7"/>
  <c r="H36"/>
  <c r="C36"/>
  <c r="K36"/>
  <c r="B36"/>
  <c r="B38" s="1"/>
  <c r="C37" s="1"/>
  <c r="C38" s="1"/>
  <c r="D37" s="1"/>
  <c r="D38" s="1"/>
  <c r="F36"/>
  <c r="F38" s="1"/>
  <c r="J36"/>
  <c r="G36"/>
  <c r="G38" s="1"/>
  <c r="H38"/>
  <c r="I37" s="1"/>
  <c r="I38" s="1"/>
  <c r="J37" s="1"/>
  <c r="E38"/>
  <c r="C12" i="6"/>
  <c r="C25" s="1"/>
  <c r="G12"/>
  <c r="G25" s="1"/>
  <c r="C34"/>
  <c r="G34"/>
  <c r="K34"/>
  <c r="K40" s="1"/>
  <c r="J40"/>
  <c r="D39"/>
  <c r="H39"/>
  <c r="C39"/>
  <c r="G39"/>
  <c r="K39"/>
  <c r="E25"/>
  <c r="I25"/>
  <c r="I42" s="1"/>
  <c r="E40"/>
  <c r="I40"/>
  <c r="K25"/>
  <c r="E42"/>
  <c r="B40"/>
  <c r="F40"/>
  <c r="D40"/>
  <c r="D42" s="1"/>
  <c r="H40"/>
  <c r="B42"/>
  <c r="F42"/>
  <c r="J42"/>
  <c r="H42"/>
  <c r="D36" i="4"/>
  <c r="D38" s="1"/>
  <c r="D42" s="1"/>
  <c r="D44" s="1"/>
  <c r="D46" s="1"/>
  <c r="H36"/>
  <c r="H38" s="1"/>
  <c r="H42" s="1"/>
  <c r="H44" s="1"/>
  <c r="H46" s="1"/>
  <c r="H48" s="1"/>
  <c r="C22"/>
  <c r="G22"/>
  <c r="K22"/>
  <c r="K38" s="1"/>
  <c r="K42" s="1"/>
  <c r="K44" s="1"/>
  <c r="K46" s="1"/>
  <c r="M38"/>
  <c r="Q38"/>
  <c r="U38"/>
  <c r="C36"/>
  <c r="C38" s="1"/>
  <c r="C42" s="1"/>
  <c r="C44" s="1"/>
  <c r="C46" s="1"/>
  <c r="G36"/>
  <c r="K36"/>
  <c r="B22"/>
  <c r="F22"/>
  <c r="F38" s="1"/>
  <c r="F42" s="1"/>
  <c r="F44" s="1"/>
  <c r="F46" s="1"/>
  <c r="J22"/>
  <c r="J38" s="1"/>
  <c r="J42" s="1"/>
  <c r="J44" s="1"/>
  <c r="J46" s="1"/>
  <c r="L38"/>
  <c r="P38"/>
  <c r="T38"/>
  <c r="B36"/>
  <c r="F36"/>
  <c r="J36"/>
  <c r="E38"/>
  <c r="E42" s="1"/>
  <c r="E44" s="1"/>
  <c r="E46" s="1"/>
  <c r="B38"/>
  <c r="B42" s="1"/>
  <c r="B44" s="1"/>
  <c r="B46" s="1"/>
  <c r="I38"/>
  <c r="I42" s="1"/>
  <c r="I44" s="1"/>
  <c r="I46" s="1"/>
  <c r="G38"/>
  <c r="G42" s="1"/>
  <c r="G44" s="1"/>
  <c r="G46" s="1"/>
  <c r="C39" i="3"/>
  <c r="G39"/>
  <c r="B20"/>
  <c r="F20"/>
  <c r="J20"/>
  <c r="J39" s="1"/>
  <c r="C38"/>
  <c r="G38"/>
  <c r="E20"/>
  <c r="I20"/>
  <c r="I39" s="1"/>
  <c r="B38"/>
  <c r="F38"/>
  <c r="J38"/>
  <c r="D20"/>
  <c r="D39" s="1"/>
  <c r="H20"/>
  <c r="H39" s="1"/>
  <c r="E38"/>
  <c r="I38"/>
  <c r="H9" i="2"/>
  <c r="B19"/>
  <c r="H5"/>
  <c r="D9"/>
  <c r="C15"/>
  <c r="G15"/>
  <c r="B32"/>
  <c r="F32"/>
  <c r="J32"/>
  <c r="D32"/>
  <c r="D48" s="1"/>
  <c r="B38"/>
  <c r="F38"/>
  <c r="J38"/>
  <c r="D38"/>
  <c r="F15"/>
  <c r="J15"/>
  <c r="E28"/>
  <c r="E48" s="1"/>
  <c r="I28"/>
  <c r="I48" s="1"/>
  <c r="I32"/>
  <c r="I38"/>
  <c r="H25"/>
  <c r="H49" s="1"/>
  <c r="C5"/>
  <c r="G5"/>
  <c r="G25" s="1"/>
  <c r="B9"/>
  <c r="F9"/>
  <c r="J9"/>
  <c r="D19"/>
  <c r="D25" s="1"/>
  <c r="H19"/>
  <c r="B5"/>
  <c r="F5"/>
  <c r="J5"/>
  <c r="J25" s="1"/>
  <c r="E9"/>
  <c r="I9"/>
  <c r="E15"/>
  <c r="I15"/>
  <c r="C19"/>
  <c r="G19"/>
  <c r="C28"/>
  <c r="G28"/>
  <c r="B42"/>
  <c r="F42"/>
  <c r="J42"/>
  <c r="E5"/>
  <c r="E25" s="1"/>
  <c r="I5"/>
  <c r="D15"/>
  <c r="H15"/>
  <c r="B28"/>
  <c r="B48" s="1"/>
  <c r="F28"/>
  <c r="F48" s="1"/>
  <c r="J28"/>
  <c r="C32"/>
  <c r="C48" s="1"/>
  <c r="G32"/>
  <c r="D19" i="1"/>
  <c r="D22" s="1"/>
  <c r="D24" s="1"/>
  <c r="H19"/>
  <c r="H22" s="1"/>
  <c r="H24" s="1"/>
  <c r="K48" i="12" l="1"/>
  <c r="J38" i="7"/>
  <c r="K37" s="1"/>
  <c r="K38" s="1"/>
  <c r="C42" i="6"/>
  <c r="C40"/>
  <c r="K42"/>
  <c r="G40"/>
  <c r="G42" s="1"/>
  <c r="F48" i="4"/>
  <c r="I48"/>
  <c r="E48"/>
  <c r="K48"/>
  <c r="C48"/>
  <c r="J48"/>
  <c r="B48"/>
  <c r="G48"/>
  <c r="D48"/>
  <c r="B39" i="3"/>
  <c r="E39"/>
  <c r="F39"/>
  <c r="E49" i="2"/>
  <c r="G48"/>
  <c r="C25"/>
  <c r="F25"/>
  <c r="F49" s="1"/>
  <c r="J49"/>
  <c r="I25"/>
  <c r="I49" s="1"/>
  <c r="J48"/>
  <c r="B25"/>
  <c r="B49" s="1"/>
  <c r="D49"/>
  <c r="G49"/>
  <c r="C49"/>
</calcChain>
</file>

<file path=xl/sharedStrings.xml><?xml version="1.0" encoding="utf-8"?>
<sst xmlns="http://schemas.openxmlformats.org/spreadsheetml/2006/main" count="1045" uniqueCount="538">
  <si>
    <t>Description</t>
  </si>
  <si>
    <t>2008/9</t>
  </si>
  <si>
    <t>2009/10</t>
  </si>
  <si>
    <t>2010/11</t>
  </si>
  <si>
    <t>Current Year 2011/12</t>
  </si>
  <si>
    <t>2012/13 Medium Term Revenue &amp; Expenditure Framework</t>
  </si>
  <si>
    <t>R thousands</t>
  </si>
  <si>
    <t>Audited Outcome</t>
  </si>
  <si>
    <t>Original Budget</t>
  </si>
  <si>
    <t>Adjusted Budget</t>
  </si>
  <si>
    <t>Full Year Forecast</t>
  </si>
  <si>
    <t>Pre-audit outcome</t>
  </si>
  <si>
    <t>Budget Year 2012/13</t>
  </si>
  <si>
    <t>Budget Year +1 2013/14</t>
  </si>
  <si>
    <t>Budget Year +2 2014/15</t>
  </si>
  <si>
    <t>Financial Performance</t>
  </si>
  <si>
    <t>Property rates</t>
  </si>
  <si>
    <t>Service charges</t>
  </si>
  <si>
    <t>Investment revenue</t>
  </si>
  <si>
    <t>Transfers recognised - operational</t>
  </si>
  <si>
    <t>Other own revenue</t>
  </si>
  <si>
    <t>Total Revenue (excluding capital transfers and contributions)</t>
  </si>
  <si>
    <t>Employee costs</t>
  </si>
  <si>
    <t>Remuneration of councillors</t>
  </si>
  <si>
    <t>Depreciation &amp; asset impairment</t>
  </si>
  <si>
    <t>Finance charges</t>
  </si>
  <si>
    <t>Materials and bulk purchases</t>
  </si>
  <si>
    <t>Transfers and grants</t>
  </si>
  <si>
    <t>Other expenditure</t>
  </si>
  <si>
    <t>Total Expenditure</t>
  </si>
  <si>
    <t>Surplus/(Deficit)</t>
  </si>
  <si>
    <t>Transfers recognised - capital</t>
  </si>
  <si>
    <t>Contributions recognised - capital &amp; contributed assets</t>
  </si>
  <si>
    <t>Surplus/(Deficit) after capital transfers &amp; contributions</t>
  </si>
  <si>
    <t>Share of surplus/ (deficit) of associate</t>
  </si>
  <si>
    <t>Capital expenditure &amp; funds sources</t>
  </si>
  <si>
    <t>Capital expenditure</t>
  </si>
  <si>
    <t>Public contributions &amp; donations</t>
  </si>
  <si>
    <t>Borrowing</t>
  </si>
  <si>
    <t>Internally generated funds</t>
  </si>
  <si>
    <t>Total sources of capital funds</t>
  </si>
  <si>
    <t>Financial position</t>
  </si>
  <si>
    <t>Total current assets</t>
  </si>
  <si>
    <t>Total non current assets</t>
  </si>
  <si>
    <t>Total current liabilities</t>
  </si>
  <si>
    <t>Total non current liabilities</t>
  </si>
  <si>
    <t>Community wealth/Equity</t>
  </si>
  <si>
    <t>Cash flows</t>
  </si>
  <si>
    <t>Net cash from (used) operating</t>
  </si>
  <si>
    <t>Net cash from (used) investing</t>
  </si>
  <si>
    <t>Net cash from (used) financing</t>
  </si>
  <si>
    <t>Cash backing/surplus reconciliation</t>
  </si>
  <si>
    <t>Cash and investments available</t>
  </si>
  <si>
    <t>Application of cash and investments</t>
  </si>
  <si>
    <t>Balance - surplus (shortfall)</t>
  </si>
  <si>
    <t>Asset management</t>
  </si>
  <si>
    <t>Asset register summary (WDV)</t>
  </si>
  <si>
    <t>Renewal of Existing Assets</t>
  </si>
  <si>
    <t>Repairs and Maintenance</t>
  </si>
  <si>
    <t>Free services</t>
  </si>
  <si>
    <t>Cost of Free Basic Services provided</t>
  </si>
  <si>
    <t>Revenue cost of free services provided</t>
  </si>
  <si>
    <t>Households below minimum service level</t>
  </si>
  <si>
    <t>Water:</t>
  </si>
  <si>
    <t>Sanitation/sewerage:</t>
  </si>
  <si>
    <t>Energy:</t>
  </si>
  <si>
    <t>Refuse:</t>
  </si>
  <si>
    <t>Ref</t>
  </si>
  <si>
    <t>R thousand</t>
  </si>
  <si>
    <t>Revenue - Standard</t>
  </si>
  <si>
    <t>Executive and council</t>
  </si>
  <si>
    <t>Budget and treasury office</t>
  </si>
  <si>
    <t>Corporate services</t>
  </si>
  <si>
    <t>Community and public safety</t>
  </si>
  <si>
    <t>Community and social services</t>
  </si>
  <si>
    <t>Sport and recreation</t>
  </si>
  <si>
    <t>Public safety</t>
  </si>
  <si>
    <t>Fire</t>
  </si>
  <si>
    <t>Street Lighting</t>
  </si>
  <si>
    <t>Other</t>
  </si>
  <si>
    <t>Housing</t>
  </si>
  <si>
    <t>Health</t>
  </si>
  <si>
    <t>Clinics</t>
  </si>
  <si>
    <t>Economic and environmental services</t>
  </si>
  <si>
    <t>Planning and development</t>
  </si>
  <si>
    <t>Road transport</t>
  </si>
  <si>
    <t>Roads</t>
  </si>
  <si>
    <t>Environmental protection</t>
  </si>
  <si>
    <t>Trading services</t>
  </si>
  <si>
    <t>Electricity</t>
  </si>
  <si>
    <t>Water</t>
  </si>
  <si>
    <t>Waste water management</t>
  </si>
  <si>
    <t>Waste management</t>
  </si>
  <si>
    <t>Abattoirs</t>
  </si>
  <si>
    <t>Markets</t>
  </si>
  <si>
    <t>Expenditure - Standard</t>
  </si>
  <si>
    <t>Vote Description</t>
  </si>
  <si>
    <t>Forecast 2015/16</t>
  </si>
  <si>
    <t>Forecast 2016/17</t>
  </si>
  <si>
    <t>Forecast 2017/18</t>
  </si>
  <si>
    <t>Forecast 2018/19</t>
  </si>
  <si>
    <t>Forecast 2019/20</t>
  </si>
  <si>
    <t>Forecast 2020/21</t>
  </si>
  <si>
    <t>Forecast 2021/22</t>
  </si>
  <si>
    <t>Revenue by Vote</t>
  </si>
  <si>
    <t>Vote 1 - Executive &amp; Council</t>
  </si>
  <si>
    <t>Vote 2 - Finance &amp; Administration</t>
  </si>
  <si>
    <t>Vote 3 - Planning &amp; Development</t>
  </si>
  <si>
    <t>Vote 4 - Health</t>
  </si>
  <si>
    <t>Vote 5 - Community and Social Services</t>
  </si>
  <si>
    <t>Vote 6 - Public Safety</t>
  </si>
  <si>
    <t>Vote 7 - Sport and Recreation</t>
  </si>
  <si>
    <t>Vote 8 - Environmental Protection</t>
  </si>
  <si>
    <t>Vote 9 - Roads &amp; Transport</t>
  </si>
  <si>
    <t>Vote 10 - Housing Services</t>
  </si>
  <si>
    <t>Vote 11 - Solid Waste</t>
  </si>
  <si>
    <t>Vote 12 - Waste Water Management</t>
  </si>
  <si>
    <t>Vote 13 - Electricity</t>
  </si>
  <si>
    <t>Vote 14 - Water Service Authority</t>
  </si>
  <si>
    <t>Vote 15 - [NAME OF VOTE 15]</t>
  </si>
  <si>
    <t>Total Revenue by Vote</t>
  </si>
  <si>
    <r>
      <t>Expenditure by Vote</t>
    </r>
    <r>
      <rPr>
        <b/>
        <sz val="8"/>
        <rFont val="Arial Narrow"/>
        <family val="2"/>
      </rPr>
      <t xml:space="preserve"> </t>
    </r>
    <r>
      <rPr>
        <b/>
        <i/>
        <sz val="8"/>
        <rFont val="Arial Narrow"/>
        <family val="2"/>
      </rPr>
      <t>to be appropriated</t>
    </r>
  </si>
  <si>
    <t>Total Expenditure by Vote</t>
  </si>
  <si>
    <t>Revenue By Source</t>
  </si>
  <si>
    <t>Property rates - penalties &amp; collection charges</t>
  </si>
  <si>
    <t>Service charges - electricity revenue</t>
  </si>
  <si>
    <t>Service charges - water revenue</t>
  </si>
  <si>
    <t>Service charges - sanitation revenue</t>
  </si>
  <si>
    <t>Service charges - refuse revenue</t>
  </si>
  <si>
    <t>Service charges - other</t>
  </si>
  <si>
    <t>Rental of facilities and equipment</t>
  </si>
  <si>
    <t>Interest earned - external investments</t>
  </si>
  <si>
    <t>Interest earned - outstanding debtors</t>
  </si>
  <si>
    <t>Dividends received</t>
  </si>
  <si>
    <t>Fines</t>
  </si>
  <si>
    <t>Licences and permits</t>
  </si>
  <si>
    <t>Agency services</t>
  </si>
  <si>
    <t>Other revenue</t>
  </si>
  <si>
    <t>Gains on disposal of PPE</t>
  </si>
  <si>
    <t>Expenditure By Type</t>
  </si>
  <si>
    <t>Employee related costs</t>
  </si>
  <si>
    <t>Debt impairment</t>
  </si>
  <si>
    <t>Bulk purchases</t>
  </si>
  <si>
    <t>Other materials</t>
  </si>
  <si>
    <t>Contracted services</t>
  </si>
  <si>
    <t>Loss on disposal of PPE</t>
  </si>
  <si>
    <t>Contributions recognised - capital</t>
  </si>
  <si>
    <t>Contributed assets</t>
  </si>
  <si>
    <t>Taxation</t>
  </si>
  <si>
    <t>Surplus/(Deficit) after taxation</t>
  </si>
  <si>
    <t>Attributable to minorities</t>
  </si>
  <si>
    <t>Surplus/(Deficit) attributable to municipality</t>
  </si>
  <si>
    <t>check balance</t>
  </si>
  <si>
    <t>EC106 Sundays River Valley - Table A5 Budgeted Capital Expenditure by vote, standard classification and funding</t>
  </si>
  <si>
    <t>Capital expenditure - Vote</t>
  </si>
  <si>
    <r>
      <t xml:space="preserve">Multi-year expenditure </t>
    </r>
    <r>
      <rPr>
        <b/>
        <sz val="8"/>
        <rFont val="Arial Narrow"/>
        <family val="2"/>
      </rPr>
      <t xml:space="preserve"> </t>
    </r>
    <r>
      <rPr>
        <b/>
        <i/>
        <sz val="8"/>
        <rFont val="Arial Narrow"/>
        <family val="2"/>
      </rPr>
      <t>to be appropriated</t>
    </r>
  </si>
  <si>
    <t>Capital multi-year expenditure sub-total</t>
  </si>
  <si>
    <r>
      <t>Single-year expenditure</t>
    </r>
    <r>
      <rPr>
        <b/>
        <sz val="8"/>
        <rFont val="Arial Narrow"/>
        <family val="2"/>
      </rPr>
      <t xml:space="preserve"> </t>
    </r>
    <r>
      <rPr>
        <b/>
        <i/>
        <sz val="8"/>
        <rFont val="Arial Narrow"/>
        <family val="2"/>
      </rPr>
      <t>to be appropriated</t>
    </r>
  </si>
  <si>
    <t>Capital single-year expenditure sub-total</t>
  </si>
  <si>
    <t>Total Capital Expenditure - Vote</t>
  </si>
  <si>
    <t>Capital Expenditure - Standard</t>
  </si>
  <si>
    <t>Governance and administration</t>
  </si>
  <si>
    <t>Total Capital Expenditure - Standard</t>
  </si>
  <si>
    <t>Funded by:</t>
  </si>
  <si>
    <t>National Government</t>
  </si>
  <si>
    <t>Provincial Government</t>
  </si>
  <si>
    <t>District Municipality</t>
  </si>
  <si>
    <t>Other transfers and grants</t>
  </si>
  <si>
    <t>Total Capital Funding</t>
  </si>
  <si>
    <t>ASSETS</t>
  </si>
  <si>
    <t>Current assets</t>
  </si>
  <si>
    <t>Cash</t>
  </si>
  <si>
    <t>Call investment deposits</t>
  </si>
  <si>
    <t>Consumer debtors</t>
  </si>
  <si>
    <t>Other debtors</t>
  </si>
  <si>
    <t>Current portion of long-term receivables</t>
  </si>
  <si>
    <t>Inventory</t>
  </si>
  <si>
    <t>Non current assets</t>
  </si>
  <si>
    <t>Long-term receivables</t>
  </si>
  <si>
    <t>Investments</t>
  </si>
  <si>
    <t>Investment property</t>
  </si>
  <si>
    <t>Investment in Associate</t>
  </si>
  <si>
    <t>Property, plant and equipment</t>
  </si>
  <si>
    <t>Agricultural</t>
  </si>
  <si>
    <t>Biological</t>
  </si>
  <si>
    <t>Intangible</t>
  </si>
  <si>
    <t>Other non-current assets</t>
  </si>
  <si>
    <t>TOTAL ASSETS</t>
  </si>
  <si>
    <t>LIABILITIES</t>
  </si>
  <si>
    <t>Current liabilities</t>
  </si>
  <si>
    <t>Bank overdraft</t>
  </si>
  <si>
    <t>Consumer deposits</t>
  </si>
  <si>
    <t>Trade and other payables</t>
  </si>
  <si>
    <t>Provisions</t>
  </si>
  <si>
    <t>Non current liabilities</t>
  </si>
  <si>
    <t>TOTAL LIABILITIES</t>
  </si>
  <si>
    <t>NET ASSETS</t>
  </si>
  <si>
    <t>COMMUNITY WEALTH/EQUITY</t>
  </si>
  <si>
    <t>Accumulated Surplus/(Deficit)</t>
  </si>
  <si>
    <t>Reserves</t>
  </si>
  <si>
    <t>Minorities' interests</t>
  </si>
  <si>
    <t>TOTAL COMMUNITY WEALTH/EQUITY</t>
  </si>
  <si>
    <t>CASH FLOW FROM OPERATING ACTIVITIES</t>
  </si>
  <si>
    <t>Receipts</t>
  </si>
  <si>
    <t>Ratepayers and other</t>
  </si>
  <si>
    <t>Government - operating</t>
  </si>
  <si>
    <t>Government - capital</t>
  </si>
  <si>
    <t>Interest</t>
  </si>
  <si>
    <t>Dividends</t>
  </si>
  <si>
    <t>Payments</t>
  </si>
  <si>
    <t>Suppliers and employees</t>
  </si>
  <si>
    <t>Transfers and Grants</t>
  </si>
  <si>
    <t>NET CASH FROM/(USED) OPERATING ACTIVITIES</t>
  </si>
  <si>
    <t>CASH FLOWS FROM INVESTING ACTIVITIES</t>
  </si>
  <si>
    <t>Proceeds on disposal of PPE</t>
  </si>
  <si>
    <t>Decrease (Increase) in non-current debtors</t>
  </si>
  <si>
    <t>Decrease (increase) other non-current receivables</t>
  </si>
  <si>
    <t>Decrease (increase) in non-current investments</t>
  </si>
  <si>
    <t>Capital assets</t>
  </si>
  <si>
    <t>NET CASH FROM/(USED) INVESTING ACTIVITIES</t>
  </si>
  <si>
    <t>CASH FLOWS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</si>
  <si>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</si>
  <si>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</si>
  <si>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</si>
  <si>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</si>
  <si>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</si>
  <si>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 (DECREASE) IN CASH HELD</t>
  </si>
  <si>
    <t>Cash/cash equivalents at the year begin:</t>
  </si>
  <si>
    <t>Cash/cash equivalents at the year end:</t>
  </si>
  <si>
    <t>Other current investments  &gt; 90 days</t>
  </si>
  <si>
    <t>Cash and investments available:</t>
  </si>
  <si>
    <t>Unspent borrowing</t>
  </si>
  <si>
    <t>Statutory requirements</t>
  </si>
  <si>
    <t>Other working capital requirements</t>
  </si>
  <si>
    <t>Other provisions</t>
  </si>
  <si>
    <t>Long term investments committed</t>
  </si>
  <si>
    <t>Reserves to be backed by cash/investments</t>
  </si>
  <si>
    <t>Surplus(shortfall)</t>
  </si>
  <si>
    <t>Total</t>
  </si>
  <si>
    <t>EC106 Sundays River Valley - Table A9 Asset Management</t>
  </si>
  <si>
    <t>CAPITAL EXPENDITURE</t>
  </si>
  <si>
    <t>Total New Assets</t>
  </si>
  <si>
    <t xml:space="preserve">  Infrastructure - Road transport</t>
  </si>
  <si>
    <t xml:space="preserve">  Infrastructure - Electricity</t>
  </si>
  <si>
    <t xml:space="preserve">  Infrastructure - Water</t>
  </si>
  <si>
    <t xml:space="preserve">  Infrastructure - Sanitation</t>
  </si>
  <si>
    <t xml:space="preserve">  Infrastructure - Other</t>
  </si>
  <si>
    <t>Infrastructure</t>
  </si>
  <si>
    <t>Community</t>
  </si>
  <si>
    <t>Heritage assets</t>
  </si>
  <si>
    <t>Investment properties</t>
  </si>
  <si>
    <t>Other assets</t>
  </si>
  <si>
    <t>Agricultural Assets</t>
  </si>
  <si>
    <t>Biological assets</t>
  </si>
  <si>
    <t>Intangibles</t>
  </si>
  <si>
    <t>Total Renewal of Existing Assets</t>
  </si>
  <si>
    <t>Total Capital Expenditure</t>
  </si>
  <si>
    <t>TOTAL CAPITAL EXPENDITURE - Asset class</t>
  </si>
  <si>
    <t>ASSET REGISTER SUMMARY - PPE (WDV)</t>
  </si>
  <si>
    <t>TOTAL ASSET REGISTER SUMMARY - PPE (WDV)</t>
  </si>
  <si>
    <t>EXPENDITURE OTHER ITEMS</t>
  </si>
  <si>
    <t>Repairs and Maintenance by Asset Class</t>
  </si>
  <si>
    <t>6, 7</t>
  </si>
  <si>
    <t>TOTAL EXPENDITURE OTHER ITEMS</t>
  </si>
  <si>
    <t>Renewal of Existing Assets as % of total capex</t>
  </si>
  <si>
    <t>Renewal of Existing Assets as % of deprecn"</t>
  </si>
  <si>
    <t>R&amp;M as a % of PPE</t>
  </si>
  <si>
    <t>Renewal and R&amp;M as a % of PPE</t>
  </si>
  <si>
    <t>EC106 Sundays River Valley - Table A10 Basic service delivery measurement</t>
  </si>
  <si>
    <t>Outcome</t>
  </si>
  <si>
    <t>Household service targets</t>
  </si>
  <si>
    <t>Piped water inside dwelling</t>
  </si>
  <si>
    <t>Piped water inside yard (but not in dwelling)</t>
  </si>
  <si>
    <t>Using public tap (at least min.service level)</t>
  </si>
  <si>
    <t>Other water supply (at least min.service level)</t>
  </si>
  <si>
    <t>Minimum Service Level and Above sub-total</t>
  </si>
  <si>
    <t>Using public tap (&lt; min.service level)</t>
  </si>
  <si>
    <t>Other water supply (&lt; min.service level)</t>
  </si>
  <si>
    <t>No water supply</t>
  </si>
  <si>
    <t>Below Minimum Service Level sub-total</t>
  </si>
  <si>
    <t>Total number of households</t>
  </si>
  <si>
    <t>Flush toilet (connected to sewerage)</t>
  </si>
  <si>
    <t>Flush toilet (with septic tank)</t>
  </si>
  <si>
    <t>Chemical toilet</t>
  </si>
  <si>
    <t>Pit toilet (ventilated)</t>
  </si>
  <si>
    <t>Other toilet provisions (&gt; min.service level)</t>
  </si>
  <si>
    <t>Bucket toilet</t>
  </si>
  <si>
    <t>Other toilet provisions (&lt; min.service level)</t>
  </si>
  <si>
    <t>No toilet provisions</t>
  </si>
  <si>
    <t>Electricity (at least min.service level)</t>
  </si>
  <si>
    <t>Electricity - prepaid (min.service level)</t>
  </si>
  <si>
    <t>Electricity (&lt; min.service level)</t>
  </si>
  <si>
    <t>Electricity - prepaid (&lt; min. service level)</t>
  </si>
  <si>
    <t>Other energy sources</t>
  </si>
  <si>
    <t>Removed at least once a week</t>
  </si>
  <si>
    <t>Removed less frequently than once a week</t>
  </si>
  <si>
    <t>Using communal refuse dump</t>
  </si>
  <si>
    <t>Using own refuse dump</t>
  </si>
  <si>
    <t>Other rubbish disposal</t>
  </si>
  <si>
    <t>No rubbish disposal</t>
  </si>
  <si>
    <t>Households receiving Free Basic Service</t>
  </si>
  <si>
    <t>Water (6 kilolitres per household per month)</t>
  </si>
  <si>
    <t>Sanitation (free minimum level service)</t>
  </si>
  <si>
    <t>Electricity/other energy (50kwh per household per month)</t>
  </si>
  <si>
    <t>Refuse (removed at least once a week)</t>
  </si>
  <si>
    <t>Cost of Free Basic Services provided (R'000)</t>
  </si>
  <si>
    <t>Sanitation (free sanitation service)</t>
  </si>
  <si>
    <t>Refuse (removed once a week)</t>
  </si>
  <si>
    <t xml:space="preserve">Total cost of FBS provided (minimum social package) </t>
  </si>
  <si>
    <t>Highest level of free service provided</t>
  </si>
  <si>
    <t>Property rates (R value threshold)</t>
  </si>
  <si>
    <t>Water (kilolitres per household per month)</t>
  </si>
  <si>
    <t>Sanitation (kilolitres per household per month)</t>
  </si>
  <si>
    <t>Sanitation (Rand per household per month)</t>
  </si>
  <si>
    <t>Electricity (kwh per household per month)</t>
  </si>
  <si>
    <t>Refuse (average litres per week)</t>
  </si>
  <si>
    <t>Revenue cost of free services provided (R'000)</t>
  </si>
  <si>
    <t>Property rates (R15 000 threshold rebate)</t>
  </si>
  <si>
    <t>Property rates (other exemptions, reductions and rebates)</t>
  </si>
  <si>
    <t>Sanitation</t>
  </si>
  <si>
    <t>Electricity/other energy</t>
  </si>
  <si>
    <t>Refuse</t>
  </si>
  <si>
    <t>Municipal Housing - rental rebates</t>
  </si>
  <si>
    <t>Housing - top structure subsidies</t>
  </si>
  <si>
    <t>Total revenue cost of free services provided (total social package)</t>
  </si>
  <si>
    <t>R'000</t>
  </si>
  <si>
    <t>RECEIPTS:</t>
  </si>
  <si>
    <t>1, 2</t>
  </si>
  <si>
    <t>Operating Transfers and Grants</t>
  </si>
  <si>
    <t>National Government:</t>
  </si>
  <si>
    <t>Local Government Equitable Share</t>
  </si>
  <si>
    <t xml:space="preserve">  Finance Management</t>
  </si>
  <si>
    <t xml:space="preserve">  Municipal Systems Improvement</t>
  </si>
  <si>
    <t xml:space="preserve">  Department of Water Affairs</t>
  </si>
  <si>
    <t>EPWP Incentive</t>
  </si>
  <si>
    <t>MIG PMU</t>
  </si>
  <si>
    <t>Special Contribution Councillors</t>
  </si>
  <si>
    <t>Provincial Government:</t>
  </si>
  <si>
    <t>Health subsidy</t>
  </si>
  <si>
    <t>IDP</t>
  </si>
  <si>
    <t>LED</t>
  </si>
  <si>
    <t>LIBRARIES</t>
  </si>
  <si>
    <t>District Municipality:</t>
  </si>
  <si>
    <t>Environmental health</t>
  </si>
  <si>
    <t>FIRE</t>
  </si>
  <si>
    <t>Other grant providers:</t>
  </si>
  <si>
    <t>Total Operating Transfers and Grants</t>
  </si>
  <si>
    <t>Capital Transfers and Grants</t>
  </si>
  <si>
    <t xml:space="preserve"> Municipal Infrastructure Grant (MIG)</t>
  </si>
  <si>
    <t>Regional Bulk Infrastructure</t>
  </si>
  <si>
    <t xml:space="preserve">  Other capital transfers/grants [insert desc]</t>
  </si>
  <si>
    <t>DWAF</t>
  </si>
  <si>
    <t>Total Capital Transfers and Grants</t>
  </si>
  <si>
    <t>TOTAL RECEIPTS OF TRANSFERS &amp; GRANTS</t>
  </si>
  <si>
    <t>EXPENDITURE:</t>
  </si>
  <si>
    <t>Operating expenditure of Transfers and Grants</t>
  </si>
  <si>
    <t>Total operating expenditure of Transfers and Grants:</t>
  </si>
  <si>
    <t>Capital expenditure of Transfers and Grants</t>
  </si>
  <si>
    <t>Total capital expenditure of Transfers and Grants</t>
  </si>
  <si>
    <t>TOTAL EXPENDITURE OF TRANSFERS AND GRANTS</t>
  </si>
  <si>
    <t>EC106 Sundays River Valley - Supporting Table SA21 Transfers and grants made by the municipality</t>
  </si>
  <si>
    <t>Cash Transfers to other municipalities</t>
  </si>
  <si>
    <t>Insert description</t>
  </si>
  <si>
    <t>Total Cash Transfers To Municipalities:</t>
  </si>
  <si>
    <t>Cash Transfers to Entities/Other External Mechanisms</t>
  </si>
  <si>
    <t>Total Cash Transfers To Entities/Ems'</t>
  </si>
  <si>
    <t>Cash Transfers to other Organs of State</t>
  </si>
  <si>
    <t>Total Cash Transfers To Other Organs Of State:</t>
  </si>
  <si>
    <t>Cash Transfers to Organisations</t>
  </si>
  <si>
    <t>Total Cash Transfers To Organisations</t>
  </si>
  <si>
    <t>Cash Transfers to Groups of Individuals</t>
  </si>
  <si>
    <t>FBS SUBIDY FOR INDIGENT</t>
  </si>
  <si>
    <t>Total Cash Transfers To Groups Of Individuals:</t>
  </si>
  <si>
    <t>TOTAL CASH TRANSFERS AND GRANTS</t>
  </si>
  <si>
    <t>Non-Cash Transfers to other municipalities</t>
  </si>
  <si>
    <t>Total Non-Cash Transfers To Municipalities:</t>
  </si>
  <si>
    <t>Non-Cash Transfers to Entities/Other External Mechanisms</t>
  </si>
  <si>
    <t>Total Non-Cash Transfers To Entities/Ems'</t>
  </si>
  <si>
    <t>Non-Cash Transfers to other Organs of State</t>
  </si>
  <si>
    <t>Total Non-Cash Transfers To Other Organs Of State:</t>
  </si>
  <si>
    <t>Non-Cash Grants to Organisations</t>
  </si>
  <si>
    <t>Total Non-Cash Grants To Organisations</t>
  </si>
  <si>
    <t>Groups of Individuals</t>
  </si>
  <si>
    <t>Total Non-Cash Grants To Groups Of Individuals:</t>
  </si>
  <si>
    <t>TOTAL NON-CASH TRANSFERS AND GRANTS</t>
  </si>
  <si>
    <t>TOTAL TRANSFERS AND GRANTS</t>
  </si>
  <si>
    <t>EC106 Sundays River Valley - Supporting Table SA34a Capital expenditure on new assets by asset class</t>
  </si>
  <si>
    <t>Capital expenditure on new assets by Asset Class/Sub-class</t>
  </si>
  <si>
    <t>Infrastructure - Road transport</t>
  </si>
  <si>
    <t>Roads, Pavements &amp; Bridges</t>
  </si>
  <si>
    <t>Storm water</t>
  </si>
  <si>
    <t>Infrastructure - Electricity</t>
  </si>
  <si>
    <t>Generation</t>
  </si>
  <si>
    <t>Transmission &amp; Reticulation</t>
  </si>
  <si>
    <t>Infrastructure - Water</t>
  </si>
  <si>
    <t>Dams &amp; Reservoirs</t>
  </si>
  <si>
    <t>Water purification</t>
  </si>
  <si>
    <t>Reticulation</t>
  </si>
  <si>
    <t>Infrastructure - Sanitation</t>
  </si>
  <si>
    <t>Sewerage purification</t>
  </si>
  <si>
    <t>Infrastructure - Other</t>
  </si>
  <si>
    <t>Waste Management</t>
  </si>
  <si>
    <t>Transportation</t>
  </si>
  <si>
    <t>Gas</t>
  </si>
  <si>
    <t>Parks &amp; gardens</t>
  </si>
  <si>
    <t>Sportsfields &amp; stadia</t>
  </si>
  <si>
    <t>Swimming pools</t>
  </si>
  <si>
    <t>Community halls</t>
  </si>
  <si>
    <t>Libraries</t>
  </si>
  <si>
    <t>Recreational facilities</t>
  </si>
  <si>
    <t>Fire, safety &amp; emergency</t>
  </si>
  <si>
    <t>Security and policing</t>
  </si>
  <si>
    <t>Buses</t>
  </si>
  <si>
    <t>Museums &amp; Art Galleries</t>
  </si>
  <si>
    <t>Cemeteries</t>
  </si>
  <si>
    <t>Social rental housing</t>
  </si>
  <si>
    <t>Buildings</t>
  </si>
  <si>
    <t>Housing development</t>
  </si>
  <si>
    <t>General vehicles</t>
  </si>
  <si>
    <t>Specialised vehicles</t>
  </si>
  <si>
    <t>Plant &amp; equipment</t>
  </si>
  <si>
    <t>Computers - hardware/equipment</t>
  </si>
  <si>
    <t>Furniture and other office equipment</t>
  </si>
  <si>
    <t>Civic Land and Buildings</t>
  </si>
  <si>
    <t>Other Buildings</t>
  </si>
  <si>
    <t>Other Land</t>
  </si>
  <si>
    <t>Surplus Assets - (Investment or Inventory)</t>
  </si>
  <si>
    <t>Agricultural assets</t>
  </si>
  <si>
    <t>List sub-class</t>
  </si>
  <si>
    <t>Computers - software &amp; programming</t>
  </si>
  <si>
    <r>
      <t xml:space="preserve">Other </t>
    </r>
    <r>
      <rPr>
        <i/>
        <sz val="8"/>
        <rFont val="Arial Narrow"/>
        <family val="2"/>
      </rPr>
      <t>(list sub-class)</t>
    </r>
  </si>
  <si>
    <t>Total Capital Expenditure on new assets</t>
  </si>
  <si>
    <t>Conservancy</t>
  </si>
  <si>
    <t>Ambulances</t>
  </si>
  <si>
    <t>EC106 Sundays River Valley - Supporting Table SA34b Capital expenditure on the renewal of existing assets by asset class</t>
  </si>
  <si>
    <t>Capital expenditure on renewal of existing assets by Asset Class/Sub-class</t>
  </si>
  <si>
    <t xml:space="preserve">Total Capital Expenditure on renewal of existing assets </t>
  </si>
  <si>
    <t>EC106 Sundays River Valley - Supporting Table SA34c Repairs and maintenance expenditure by asset class</t>
  </si>
  <si>
    <t>Repairs and maintenance expenditure by Asset Class/Sub-class</t>
  </si>
  <si>
    <t>Total Repairs and Maintenance Expenditure</t>
  </si>
  <si>
    <t>R&amp;M as % Operating Expenditure</t>
  </si>
  <si>
    <t>EC106 Sundays River Valley - Supporting Table SA36 Detailed capital budget</t>
  </si>
  <si>
    <t>Municipal Vote/Capital project</t>
  </si>
  <si>
    <t>Program/Project description</t>
  </si>
  <si>
    <t>Project number</t>
  </si>
  <si>
    <t>Total Project Estimate</t>
  </si>
  <si>
    <t>Prior year outcomes</t>
  </si>
  <si>
    <t>Project information</t>
  </si>
  <si>
    <t>Audited Actual</t>
  </si>
  <si>
    <t>Audited Outcome    2010/11</t>
  </si>
  <si>
    <t>Current Year 2011/12        Full Year Forecast</t>
  </si>
  <si>
    <t>Ward location</t>
  </si>
  <si>
    <t>New or renewal</t>
  </si>
  <si>
    <t>Parent municipality:</t>
  </si>
  <si>
    <t>List all capital projects grouped by Municipal Vote</t>
  </si>
  <si>
    <t>Waste Water Management</t>
  </si>
  <si>
    <t>Waterborne Sewerage (Phase 2)</t>
  </si>
  <si>
    <t>MOSES MABIDA</t>
  </si>
  <si>
    <t>NEW</t>
  </si>
  <si>
    <t>EMSENGENI</t>
  </si>
  <si>
    <t>Upgrading of waste water treatment works (Phase 1)</t>
  </si>
  <si>
    <t>ENON &amp; BEERSHEBA</t>
  </si>
  <si>
    <t>RENEW</t>
  </si>
  <si>
    <t>Upgrading of waste water treatment works (Phase 2)</t>
  </si>
  <si>
    <t>Sewerage pump station</t>
  </si>
  <si>
    <t>5 424 645.00</t>
  </si>
  <si>
    <t>BERSHEBA</t>
  </si>
  <si>
    <t>waste water management</t>
  </si>
  <si>
    <t>Upgrading of Waste Water treatment works (phase1)</t>
  </si>
  <si>
    <t>ADDO</t>
  </si>
  <si>
    <t>Sewerage Pumps</t>
  </si>
  <si>
    <t>ALL</t>
  </si>
  <si>
    <t>Langbos</t>
  </si>
  <si>
    <t>Paterson waste water</t>
  </si>
  <si>
    <t>PATERSON</t>
  </si>
  <si>
    <t>Upgrading of water supply</t>
  </si>
  <si>
    <t>water</t>
  </si>
  <si>
    <t>Upgrading of bulk water supply</t>
  </si>
  <si>
    <t>Bulk Water Pipeline</t>
  </si>
  <si>
    <t>Bulk water supply</t>
  </si>
  <si>
    <t>Water pumps</t>
  </si>
  <si>
    <t>500 000.00</t>
  </si>
  <si>
    <t>Prepaid water meters</t>
  </si>
  <si>
    <t>Bulk water</t>
  </si>
  <si>
    <t>Upgrade of gravel roads</t>
  </si>
  <si>
    <t>Sports &amp; Recreation</t>
  </si>
  <si>
    <t>Rehabilitation and upgrade of 7 sport fields (phase 1)</t>
  </si>
  <si>
    <t>14 729 399</t>
  </si>
  <si>
    <t>Community lightning</t>
  </si>
  <si>
    <t>addo, enon, paterson &amp; kwd</t>
  </si>
  <si>
    <t>Specialized vehicles</t>
  </si>
  <si>
    <t>Various (office equipment &amp; furniture, etc)</t>
  </si>
  <si>
    <t> ALL</t>
  </si>
  <si>
    <t>other vehicles</t>
  </si>
  <si>
    <t>KIRKWOOD</t>
  </si>
  <si>
    <t>Executive &amp; Council</t>
  </si>
  <si>
    <t>Office buildings</t>
  </si>
  <si>
    <t>650 000.00</t>
  </si>
  <si>
    <t>Parent Capital expenditure</t>
  </si>
  <si>
    <t>Entities:</t>
  </si>
  <si>
    <t>List all capital projects grouped by Entity</t>
  </si>
  <si>
    <t>Entity A</t>
  </si>
  <si>
    <t>Water project A</t>
  </si>
  <si>
    <t>Entity B</t>
  </si>
  <si>
    <t>Electricity project B</t>
  </si>
  <si>
    <t>Entity Capital expenditure</t>
  </si>
  <si>
    <t>Total Capital expenditure</t>
  </si>
  <si>
    <t>EC106 Sundays River Valley - Supporting Table SA37 Projects delayed from previous financial year/s</t>
  </si>
  <si>
    <t>Ref.</t>
  </si>
  <si>
    <t>Project name</t>
  </si>
  <si>
    <t>Asset Class  
3</t>
  </si>
  <si>
    <t>Asset Sub-Class  
3</t>
  </si>
  <si>
    <t>GPS co-ordinates
4</t>
  </si>
  <si>
    <t>Previous target year to complete</t>
  </si>
  <si>
    <t>1,2</t>
  </si>
  <si>
    <t>Year</t>
  </si>
  <si>
    <t>Examples</t>
  </si>
  <si>
    <t>List all capital projects grouped by Municipal Entity</t>
  </si>
  <si>
    <t>Entity Name</t>
  </si>
  <si>
    <t>EC106 Sundays River Valley - Supporting Table SA33 Contracts having future budgetary implications</t>
  </si>
  <si>
    <t>Preceding Years</t>
  </si>
  <si>
    <t>Total Contract Value</t>
  </si>
  <si>
    <t>1,3</t>
  </si>
  <si>
    <t>Estimate</t>
  </si>
  <si>
    <t>Parent Municipality:</t>
  </si>
  <si>
    <t>Revenue Obligation By Contract</t>
  </si>
  <si>
    <t>Contract 1</t>
  </si>
  <si>
    <t>Contract 2</t>
  </si>
  <si>
    <t>Contract 3 etc</t>
  </si>
  <si>
    <t>Total Operating Revenue Implication</t>
  </si>
  <si>
    <t>Expenditure Obligation By Contract</t>
  </si>
  <si>
    <t>Total Operating Expenditure Implication</t>
  </si>
  <si>
    <t>Capital Expenditure Obligation By Contract</t>
  </si>
  <si>
    <t>Total Capital Expenditure Implication</t>
  </si>
  <si>
    <t>Total Parent Expenditure Implication</t>
  </si>
  <si>
    <t>Total Entity Expenditure Implication</t>
  </si>
  <si>
    <t>MIG-PMU</t>
  </si>
  <si>
    <t>1. Expenditure must be separately listed for each transfer or grant received or recognised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</si>
</sst>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#,###,;[Red]\(#,###,\)"/>
    <numFmt numFmtId="167" formatCode="0.0%"/>
    <numFmt numFmtId="168" formatCode="#,###,;\(#,###,\)"/>
    <numFmt numFmtId="169" formatCode="_(* #,##0,,_);_(* \(#,##0,,\);_(* &quot;–&quot;?_);_(@_)"/>
    <numFmt numFmtId="170" formatCode="_(* #,##0,_);_(* \(#,##0,\);_(* &quot;–&quot;?_);_(@_)"/>
    <numFmt numFmtId="171" formatCode="_(* #,##0_);_(* \(#,##0\);_(* &quot;–&quot;?_);_(@_)"/>
    <numFmt numFmtId="172" formatCode="#,##0_ ;\-#,##0\ 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i/>
      <sz val="8"/>
      <name val="Arial Narrow"/>
      <family val="2"/>
    </font>
    <font>
      <b/>
      <u/>
      <sz val="8"/>
      <name val="Arial Narrow"/>
      <family val="2"/>
    </font>
    <font>
      <i/>
      <sz val="8"/>
      <name val="Arial Narrow"/>
      <family val="2"/>
    </font>
    <font>
      <u/>
      <sz val="8"/>
      <name val="Arial Narrow"/>
      <family val="2"/>
    </font>
    <font>
      <b/>
      <i/>
      <u/>
      <sz val="8"/>
      <name val="Arial Narrow"/>
      <family val="2"/>
    </font>
    <font>
      <sz val="10"/>
      <name val="Arial"/>
      <family val="2"/>
    </font>
    <font>
      <i/>
      <sz val="12"/>
      <name val="Arial Narrow"/>
      <family val="2"/>
    </font>
    <font>
      <i/>
      <u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554">
    <xf numFmtId="0" fontId="0" fillId="0" borderId="0" xfId="0"/>
    <xf numFmtId="170" fontId="5" fillId="3" borderId="2" xfId="2" applyNumberFormat="1" applyFont="1" applyFill="1" applyBorder="1" applyProtection="1">
      <protection locked="0"/>
    </xf>
    <xf numFmtId="170" fontId="5" fillId="3" borderId="19" xfId="2" applyNumberFormat="1" applyFont="1" applyFill="1" applyBorder="1" applyProtection="1">
      <protection locked="0"/>
    </xf>
    <xf numFmtId="170" fontId="5" fillId="3" borderId="7" xfId="2" applyNumberFormat="1" applyFont="1" applyFill="1" applyBorder="1" applyProtection="1">
      <protection locked="0"/>
    </xf>
    <xf numFmtId="170" fontId="5" fillId="3" borderId="24" xfId="2" applyNumberFormat="1" applyFont="1" applyFill="1" applyBorder="1" applyProtection="1">
      <protection locked="0"/>
    </xf>
    <xf numFmtId="0" fontId="1" fillId="0" borderId="0" xfId="1"/>
    <xf numFmtId="0" fontId="5" fillId="0" borderId="1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/>
    </xf>
    <xf numFmtId="0" fontId="5" fillId="0" borderId="18" xfId="1" applyFont="1" applyFill="1" applyBorder="1" applyAlignment="1">
      <alignment horizontal="center" vertical="center" wrapText="1"/>
    </xf>
    <xf numFmtId="0" fontId="2" fillId="0" borderId="0" xfId="1" applyFont="1"/>
    <xf numFmtId="0" fontId="5" fillId="0" borderId="3" xfId="1" applyFont="1" applyFill="1" applyBorder="1" applyAlignment="1">
      <alignment horizontal="left" vertical="center"/>
    </xf>
    <xf numFmtId="0" fontId="7" fillId="0" borderId="2" xfId="1" applyFont="1" applyBorder="1"/>
    <xf numFmtId="0" fontId="4" fillId="0" borderId="2" xfId="1" applyFont="1" applyBorder="1" applyAlignment="1">
      <alignment horizontal="left" indent="1"/>
    </xf>
    <xf numFmtId="170" fontId="4" fillId="0" borderId="0" xfId="1" applyNumberFormat="1" applyFont="1" applyBorder="1" applyAlignment="1">
      <alignment horizontal="right"/>
    </xf>
    <xf numFmtId="170" fontId="4" fillId="0" borderId="19" xfId="1" applyNumberFormat="1" applyFont="1" applyBorder="1" applyAlignment="1">
      <alignment horizontal="right"/>
    </xf>
    <xf numFmtId="170" fontId="4" fillId="0" borderId="7" xfId="1" applyNumberFormat="1" applyFont="1" applyBorder="1" applyAlignment="1">
      <alignment horizontal="right"/>
    </xf>
    <xf numFmtId="170" fontId="4" fillId="0" borderId="2" xfId="1" applyNumberFormat="1" applyFont="1" applyBorder="1" applyAlignment="1">
      <alignment horizontal="right"/>
    </xf>
    <xf numFmtId="0" fontId="5" fillId="0" borderId="2" xfId="1" applyFont="1" applyBorder="1" applyAlignment="1">
      <alignment horizontal="left"/>
    </xf>
    <xf numFmtId="0" fontId="4" fillId="0" borderId="2" xfId="1" applyFont="1" applyBorder="1"/>
    <xf numFmtId="170" fontId="4" fillId="0" borderId="0" xfId="1" applyNumberFormat="1" applyFont="1" applyBorder="1"/>
    <xf numFmtId="170" fontId="4" fillId="0" borderId="19" xfId="1" applyNumberFormat="1" applyFont="1" applyBorder="1"/>
    <xf numFmtId="170" fontId="4" fillId="0" borderId="7" xfId="1" applyNumberFormat="1" applyFont="1" applyBorder="1"/>
    <xf numFmtId="170" fontId="4" fillId="0" borderId="2" xfId="1" applyNumberFormat="1" applyFont="1" applyBorder="1"/>
    <xf numFmtId="170" fontId="5" fillId="0" borderId="25" xfId="1" applyNumberFormat="1" applyFont="1" applyBorder="1"/>
    <xf numFmtId="170" fontId="5" fillId="0" borderId="23" xfId="1" applyNumberFormat="1" applyFont="1" applyBorder="1"/>
    <xf numFmtId="170" fontId="5" fillId="0" borderId="26" xfId="1" applyNumberFormat="1" applyFont="1" applyBorder="1"/>
    <xf numFmtId="170" fontId="5" fillId="0" borderId="27" xfId="1" applyNumberFormat="1" applyFont="1" applyBorder="1"/>
    <xf numFmtId="170" fontId="5" fillId="0" borderId="0" xfId="1" applyNumberFormat="1" applyFont="1" applyBorder="1"/>
    <xf numFmtId="170" fontId="5" fillId="0" borderId="19" xfId="1" applyNumberFormat="1" applyFont="1" applyBorder="1"/>
    <xf numFmtId="170" fontId="5" fillId="0" borderId="7" xfId="1" applyNumberFormat="1" applyFont="1" applyBorder="1"/>
    <xf numFmtId="170" fontId="5" fillId="0" borderId="2" xfId="1" applyNumberFormat="1" applyFont="1" applyBorder="1"/>
    <xf numFmtId="0" fontId="5" fillId="0" borderId="29" xfId="1" applyFont="1" applyBorder="1"/>
    <xf numFmtId="170" fontId="5" fillId="0" borderId="31" xfId="1" applyNumberFormat="1" applyFont="1" applyFill="1" applyBorder="1"/>
    <xf numFmtId="170" fontId="5" fillId="0" borderId="30" xfId="1" applyNumberFormat="1" applyFont="1" applyFill="1" applyBorder="1"/>
    <xf numFmtId="170" fontId="5" fillId="0" borderId="32" xfId="1" applyNumberFormat="1" applyFont="1" applyBorder="1"/>
    <xf numFmtId="170" fontId="5" fillId="0" borderId="29" xfId="1" applyNumberFormat="1" applyFont="1" applyBorder="1"/>
    <xf numFmtId="170" fontId="5" fillId="0" borderId="30" xfId="1" applyNumberFormat="1" applyFont="1" applyBorder="1"/>
    <xf numFmtId="170" fontId="5" fillId="0" borderId="31" xfId="1" applyNumberFormat="1" applyFont="1" applyBorder="1"/>
    <xf numFmtId="164" fontId="4" fillId="0" borderId="0" xfId="2" applyNumberFormat="1" applyFont="1" applyAlignment="1">
      <alignment horizontal="center"/>
    </xf>
    <xf numFmtId="167" fontId="4" fillId="0" borderId="0" xfId="3" applyNumberFormat="1" applyFont="1" applyAlignment="1">
      <alignment horizontal="center"/>
    </xf>
    <xf numFmtId="170" fontId="4" fillId="0" borderId="19" xfId="2" applyNumberFormat="1" applyFont="1" applyBorder="1"/>
    <xf numFmtId="170" fontId="5" fillId="0" borderId="25" xfId="1" applyNumberFormat="1" applyFont="1" applyFill="1" applyBorder="1"/>
    <xf numFmtId="170" fontId="5" fillId="0" borderId="23" xfId="1" applyNumberFormat="1" applyFont="1" applyFill="1" applyBorder="1"/>
    <xf numFmtId="170" fontId="5" fillId="0" borderId="26" xfId="1" applyNumberFormat="1" applyFont="1" applyFill="1" applyBorder="1"/>
    <xf numFmtId="170" fontId="5" fillId="0" borderId="27" xfId="1" applyNumberFormat="1" applyFont="1" applyFill="1" applyBorder="1"/>
    <xf numFmtId="0" fontId="8" fillId="0" borderId="2" xfId="1" applyFont="1" applyBorder="1" applyAlignment="1">
      <alignment horizontal="right"/>
    </xf>
    <xf numFmtId="0" fontId="4" fillId="0" borderId="13" xfId="1" applyFont="1" applyFill="1" applyBorder="1" applyAlignment="1">
      <alignment horizontal="center" vertical="center"/>
    </xf>
    <xf numFmtId="0" fontId="4" fillId="0" borderId="20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5" fillId="0" borderId="3" xfId="1" applyFont="1" applyFill="1" applyBorder="1" applyAlignment="1">
      <alignment horizontal="center" vertical="center" wrapText="1"/>
    </xf>
    <xf numFmtId="0" fontId="4" fillId="0" borderId="30" xfId="1" applyFont="1" applyBorder="1" applyAlignment="1">
      <alignment horizontal="center"/>
    </xf>
    <xf numFmtId="170" fontId="5" fillId="0" borderId="20" xfId="1" applyNumberFormat="1" applyFont="1" applyBorder="1" applyAlignment="1">
      <alignment horizontal="center"/>
    </xf>
    <xf numFmtId="170" fontId="5" fillId="0" borderId="5" xfId="1" applyNumberFormat="1" applyFont="1" applyBorder="1" applyAlignment="1">
      <alignment horizontal="center"/>
    </xf>
    <xf numFmtId="170" fontId="5" fillId="0" borderId="11" xfId="1" applyNumberFormat="1" applyFont="1" applyBorder="1" applyAlignment="1">
      <alignment horizontal="center"/>
    </xf>
    <xf numFmtId="170" fontId="5" fillId="0" borderId="6" xfId="1" applyNumberFormat="1" applyFont="1" applyBorder="1" applyAlignment="1">
      <alignment horizontal="center"/>
    </xf>
    <xf numFmtId="170" fontId="5" fillId="0" borderId="19" xfId="1" applyNumberFormat="1" applyFont="1" applyBorder="1" applyAlignment="1">
      <alignment horizontal="center"/>
    </xf>
    <xf numFmtId="170" fontId="5" fillId="0" borderId="0" xfId="1" applyNumberFormat="1" applyFont="1" applyBorder="1" applyAlignment="1">
      <alignment horizontal="center"/>
    </xf>
    <xf numFmtId="170" fontId="5" fillId="0" borderId="2" xfId="1" applyNumberFormat="1" applyFont="1" applyBorder="1" applyAlignment="1">
      <alignment horizontal="center"/>
    </xf>
    <xf numFmtId="170" fontId="5" fillId="0" borderId="7" xfId="1" applyNumberFormat="1" applyFont="1" applyBorder="1" applyAlignment="1">
      <alignment horizontal="center"/>
    </xf>
    <xf numFmtId="43" fontId="4" fillId="0" borderId="0" xfId="2" applyFont="1" applyFill="1" applyBorder="1" applyAlignment="1">
      <alignment horizontal="right"/>
    </xf>
    <xf numFmtId="0" fontId="4" fillId="0" borderId="0" xfId="1" applyFont="1" applyAlignment="1">
      <alignment horizontal="right"/>
    </xf>
    <xf numFmtId="43" fontId="4" fillId="0" borderId="0" xfId="1" applyNumberFormat="1" applyFont="1" applyAlignment="1">
      <alignment horizontal="right"/>
    </xf>
    <xf numFmtId="170" fontId="4" fillId="0" borderId="2" xfId="2" applyNumberFormat="1" applyFont="1" applyBorder="1" applyAlignment="1">
      <alignment horizontal="right"/>
    </xf>
    <xf numFmtId="170" fontId="4" fillId="0" borderId="7" xfId="2" applyNumberFormat="1" applyFont="1" applyBorder="1" applyAlignment="1">
      <alignment horizontal="right"/>
    </xf>
    <xf numFmtId="170" fontId="4" fillId="0" borderId="19" xfId="1" applyNumberFormat="1" applyFont="1" applyBorder="1" applyAlignment="1">
      <alignment horizontal="center"/>
    </xf>
    <xf numFmtId="0" fontId="5" fillId="0" borderId="2" xfId="1" applyFont="1" applyBorder="1"/>
    <xf numFmtId="170" fontId="5" fillId="0" borderId="30" xfId="1" applyNumberFormat="1" applyFont="1" applyBorder="1" applyAlignment="1">
      <alignment horizontal="center"/>
    </xf>
    <xf numFmtId="170" fontId="5" fillId="0" borderId="32" xfId="1" applyNumberFormat="1" applyFont="1" applyBorder="1" applyAlignment="1">
      <alignment horizontal="right"/>
    </xf>
    <xf numFmtId="170" fontId="5" fillId="0" borderId="29" xfId="1" applyNumberFormat="1" applyFont="1" applyBorder="1" applyAlignment="1">
      <alignment horizontal="right"/>
    </xf>
    <xf numFmtId="170" fontId="5" fillId="0" borderId="30" xfId="1" applyNumberFormat="1" applyFont="1" applyBorder="1" applyAlignment="1">
      <alignment horizontal="right"/>
    </xf>
    <xf numFmtId="170" fontId="5" fillId="0" borderId="31" xfId="1" applyNumberFormat="1" applyFont="1" applyBorder="1" applyAlignment="1">
      <alignment horizontal="right"/>
    </xf>
    <xf numFmtId="0" fontId="5" fillId="0" borderId="29" xfId="1" applyFont="1" applyBorder="1" applyAlignment="1">
      <alignment horizontal="left"/>
    </xf>
    <xf numFmtId="165" fontId="8" fillId="0" borderId="0" xfId="2" applyNumberFormat="1" applyFont="1" applyBorder="1" applyAlignment="1">
      <alignment horizontal="right"/>
    </xf>
    <xf numFmtId="165" fontId="4" fillId="0" borderId="0" xfId="2" applyNumberFormat="1" applyFont="1"/>
    <xf numFmtId="165" fontId="4" fillId="0" borderId="0" xfId="2" applyNumberFormat="1" applyFont="1" applyFill="1"/>
    <xf numFmtId="170" fontId="5" fillId="0" borderId="32" xfId="1" applyNumberFormat="1" applyFont="1" applyFill="1" applyBorder="1"/>
    <xf numFmtId="170" fontId="5" fillId="0" borderId="29" xfId="1" applyNumberFormat="1" applyFont="1" applyFill="1" applyBorder="1"/>
    <xf numFmtId="0" fontId="4" fillId="0" borderId="0" xfId="1" applyFont="1" applyFill="1"/>
    <xf numFmtId="0" fontId="5" fillId="0" borderId="8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indent="1"/>
    </xf>
    <xf numFmtId="0" fontId="4" fillId="0" borderId="2" xfId="1" applyFont="1" applyBorder="1" applyAlignment="1">
      <alignment horizontal="left" indent="2"/>
    </xf>
    <xf numFmtId="0" fontId="5" fillId="0" borderId="20" xfId="1" applyFont="1" applyFill="1" applyBorder="1" applyAlignment="1">
      <alignment vertical="center"/>
    </xf>
    <xf numFmtId="170" fontId="4" fillId="0" borderId="0" xfId="1" applyNumberFormat="1" applyFont="1" applyFill="1" applyBorder="1" applyAlignment="1">
      <alignment horizontal="right"/>
    </xf>
    <xf numFmtId="0" fontId="5" fillId="0" borderId="22" xfId="1" applyFont="1" applyFill="1" applyBorder="1" applyAlignment="1">
      <alignment horizontal="center" vertical="center"/>
    </xf>
    <xf numFmtId="0" fontId="4" fillId="0" borderId="19" xfId="1" applyNumberFormat="1" applyFont="1" applyFill="1" applyBorder="1" applyAlignment="1" applyProtection="1">
      <alignment horizontal="center"/>
    </xf>
    <xf numFmtId="170" fontId="5" fillId="0" borderId="19" xfId="1" applyNumberFormat="1" applyFont="1" applyFill="1" applyBorder="1" applyProtection="1"/>
    <xf numFmtId="170" fontId="5" fillId="0" borderId="7" xfId="1" applyNumberFormat="1" applyFont="1" applyFill="1" applyBorder="1" applyProtection="1"/>
    <xf numFmtId="170" fontId="5" fillId="0" borderId="2" xfId="1" applyNumberFormat="1" applyFont="1" applyFill="1" applyBorder="1" applyProtection="1"/>
    <xf numFmtId="170" fontId="5" fillId="0" borderId="0" xfId="1" applyNumberFormat="1" applyFont="1" applyFill="1" applyBorder="1" applyProtection="1"/>
    <xf numFmtId="170" fontId="5" fillId="0" borderId="24" xfId="1" applyNumberFormat="1" applyFont="1" applyFill="1" applyBorder="1" applyProtection="1"/>
    <xf numFmtId="0" fontId="4" fillId="0" borderId="19" xfId="1" applyNumberFormat="1" applyFont="1" applyBorder="1" applyAlignment="1" applyProtection="1">
      <alignment horizontal="center"/>
    </xf>
    <xf numFmtId="0" fontId="6" fillId="0" borderId="2" xfId="1" applyNumberFormat="1" applyFont="1" applyFill="1" applyBorder="1" applyAlignment="1" applyProtection="1">
      <alignment horizontal="left" indent="1"/>
    </xf>
    <xf numFmtId="0" fontId="4" fillId="0" borderId="2" xfId="1" applyNumberFormat="1" applyFont="1" applyFill="1" applyBorder="1" applyAlignment="1" applyProtection="1">
      <alignment horizontal="left" indent="2"/>
    </xf>
    <xf numFmtId="170" fontId="4" fillId="0" borderId="24" xfId="1" applyNumberFormat="1" applyFont="1" applyBorder="1" applyAlignment="1">
      <alignment horizontal="right"/>
    </xf>
    <xf numFmtId="170" fontId="4" fillId="0" borderId="49" xfId="1" applyNumberFormat="1" applyFont="1" applyBorder="1" applyAlignment="1">
      <alignment horizontal="right"/>
    </xf>
    <xf numFmtId="0" fontId="4" fillId="0" borderId="2" xfId="1" applyFont="1" applyFill="1" applyBorder="1" applyAlignment="1">
      <alignment horizontal="left" indent="2"/>
    </xf>
    <xf numFmtId="170" fontId="5" fillId="0" borderId="23" xfId="1" applyNumberFormat="1" applyFont="1" applyFill="1" applyBorder="1" applyAlignment="1">
      <alignment horizontal="center"/>
    </xf>
    <xf numFmtId="170" fontId="5" fillId="0" borderId="26" xfId="1" applyNumberFormat="1" applyFont="1" applyFill="1" applyBorder="1" applyAlignment="1">
      <alignment horizontal="right"/>
    </xf>
    <xf numFmtId="170" fontId="5" fillId="0" borderId="27" xfId="1" applyNumberFormat="1" applyFont="1" applyFill="1" applyBorder="1" applyAlignment="1">
      <alignment horizontal="right"/>
    </xf>
    <xf numFmtId="170" fontId="5" fillId="0" borderId="23" xfId="1" applyNumberFormat="1" applyFont="1" applyFill="1" applyBorder="1" applyAlignment="1">
      <alignment horizontal="right"/>
    </xf>
    <xf numFmtId="170" fontId="5" fillId="0" borderId="25" xfId="1" applyNumberFormat="1" applyFont="1" applyFill="1" applyBorder="1" applyAlignment="1">
      <alignment horizontal="right"/>
    </xf>
    <xf numFmtId="170" fontId="5" fillId="0" borderId="41" xfId="1" applyNumberFormat="1" applyFont="1" applyFill="1" applyBorder="1" applyProtection="1"/>
    <xf numFmtId="170" fontId="5" fillId="0" borderId="49" xfId="1" applyNumberFormat="1" applyFont="1" applyFill="1" applyBorder="1" applyProtection="1"/>
    <xf numFmtId="170" fontId="4" fillId="0" borderId="19" xfId="1" applyNumberFormat="1" applyFont="1" applyFill="1" applyBorder="1" applyAlignment="1" applyProtection="1">
      <alignment horizontal="right"/>
    </xf>
    <xf numFmtId="170" fontId="4" fillId="0" borderId="0" xfId="1" applyNumberFormat="1" applyFont="1" applyFill="1" applyBorder="1" applyAlignment="1" applyProtection="1">
      <alignment horizontal="right"/>
    </xf>
    <xf numFmtId="170" fontId="4" fillId="0" borderId="19" xfId="1" applyNumberFormat="1" applyFont="1" applyFill="1" applyBorder="1" applyAlignment="1" applyProtection="1">
      <alignment horizontal="center"/>
    </xf>
    <xf numFmtId="170" fontId="4" fillId="0" borderId="7" xfId="1" applyNumberFormat="1" applyFont="1" applyFill="1" applyBorder="1" applyAlignment="1" applyProtection="1">
      <alignment horizontal="right"/>
    </xf>
    <xf numFmtId="170" fontId="4" fillId="0" borderId="2" xfId="1" applyNumberFormat="1" applyFont="1" applyFill="1" applyBorder="1" applyAlignment="1" applyProtection="1">
      <alignment horizontal="right"/>
    </xf>
    <xf numFmtId="0" fontId="5" fillId="0" borderId="2" xfId="1" applyFont="1" applyFill="1" applyBorder="1" applyAlignment="1">
      <alignment horizontal="left" indent="1"/>
    </xf>
    <xf numFmtId="0" fontId="4" fillId="0" borderId="0" xfId="1" applyFont="1" applyFill="1" applyAlignment="1">
      <alignment horizontal="right"/>
    </xf>
    <xf numFmtId="166" fontId="4" fillId="0" borderId="0" xfId="1" applyNumberFormat="1" applyFont="1" applyFill="1"/>
    <xf numFmtId="170" fontId="4" fillId="3" borderId="19" xfId="1" applyNumberFormat="1" applyFont="1" applyFill="1" applyBorder="1" applyProtection="1">
      <protection locked="0"/>
    </xf>
    <xf numFmtId="170" fontId="4" fillId="3" borderId="24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170" fontId="4" fillId="3" borderId="19" xfId="2" applyNumberFormat="1" applyFont="1" applyFill="1" applyBorder="1" applyProtection="1">
      <protection locked="0"/>
    </xf>
    <xf numFmtId="170" fontId="4" fillId="3" borderId="7" xfId="2" applyNumberFormat="1" applyFont="1" applyFill="1" applyBorder="1" applyProtection="1">
      <protection locked="0"/>
    </xf>
    <xf numFmtId="170" fontId="4" fillId="3" borderId="2" xfId="2" applyNumberFormat="1" applyFont="1" applyFill="1" applyBorder="1" applyProtection="1">
      <protection locked="0"/>
    </xf>
    <xf numFmtId="170" fontId="4" fillId="3" borderId="0" xfId="2" applyNumberFormat="1" applyFont="1" applyFill="1" applyBorder="1" applyProtection="1">
      <protection locked="0"/>
    </xf>
    <xf numFmtId="170" fontId="4" fillId="3" borderId="24" xfId="2" applyNumberFormat="1" applyFont="1" applyFill="1" applyBorder="1" applyProtection="1">
      <protection locked="0"/>
    </xf>
    <xf numFmtId="170" fontId="5" fillId="3" borderId="19" xfId="1" applyNumberFormat="1" applyFont="1" applyFill="1" applyBorder="1" applyProtection="1">
      <protection locked="0"/>
    </xf>
    <xf numFmtId="170" fontId="5" fillId="3" borderId="7" xfId="1" applyNumberFormat="1" applyFont="1" applyFill="1" applyBorder="1" applyProtection="1">
      <protection locked="0"/>
    </xf>
    <xf numFmtId="170" fontId="5" fillId="3" borderId="2" xfId="1" applyNumberFormat="1" applyFont="1" applyFill="1" applyBorder="1" applyProtection="1">
      <protection locked="0"/>
    </xf>
    <xf numFmtId="170" fontId="5" fillId="3" borderId="0" xfId="1" applyNumberFormat="1" applyFont="1" applyFill="1" applyBorder="1" applyProtection="1">
      <protection locked="0"/>
    </xf>
    <xf numFmtId="170" fontId="5" fillId="3" borderId="44" xfId="1" applyNumberFormat="1" applyFont="1" applyFill="1" applyBorder="1" applyProtection="1">
      <protection locked="0"/>
    </xf>
    <xf numFmtId="170" fontId="4" fillId="0" borderId="2" xfId="2" applyNumberFormat="1" applyFont="1" applyFill="1" applyBorder="1"/>
    <xf numFmtId="170" fontId="4" fillId="0" borderId="0" xfId="2" applyNumberFormat="1" applyFont="1" applyFill="1" applyBorder="1"/>
    <xf numFmtId="170" fontId="4" fillId="0" borderId="7" xfId="2" applyNumberFormat="1" applyFont="1" applyFill="1" applyBorder="1"/>
    <xf numFmtId="170" fontId="4" fillId="0" borderId="24" xfId="2" applyNumberFormat="1" applyFont="1" applyFill="1" applyBorder="1"/>
    <xf numFmtId="170" fontId="4" fillId="0" borderId="0" xfId="2" applyNumberFormat="1" applyFont="1" applyFill="1" applyBorder="1" applyProtection="1">
      <protection locked="0"/>
    </xf>
    <xf numFmtId="0" fontId="1" fillId="0" borderId="0" xfId="1"/>
    <xf numFmtId="0" fontId="5" fillId="0" borderId="1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/>
    </xf>
    <xf numFmtId="0" fontId="5" fillId="0" borderId="18" xfId="1" applyFont="1" applyFill="1" applyBorder="1" applyAlignment="1">
      <alignment horizontal="center" vertical="center" wrapText="1"/>
    </xf>
    <xf numFmtId="0" fontId="4" fillId="0" borderId="19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 indent="1"/>
    </xf>
    <xf numFmtId="170" fontId="4" fillId="0" borderId="0" xfId="1" applyNumberFormat="1" applyFont="1" applyBorder="1"/>
    <xf numFmtId="170" fontId="4" fillId="0" borderId="19" xfId="1" applyNumberFormat="1" applyFont="1" applyBorder="1"/>
    <xf numFmtId="170" fontId="4" fillId="0" borderId="7" xfId="1" applyNumberFormat="1" applyFont="1" applyBorder="1"/>
    <xf numFmtId="170" fontId="4" fillId="0" borderId="2" xfId="1" applyNumberFormat="1" applyFont="1" applyBorder="1"/>
    <xf numFmtId="170" fontId="4" fillId="0" borderId="24" xfId="1" applyNumberFormat="1" applyFont="1" applyBorder="1"/>
    <xf numFmtId="170" fontId="4" fillId="0" borderId="19" xfId="1" applyNumberFormat="1" applyFont="1" applyFill="1" applyBorder="1"/>
    <xf numFmtId="170" fontId="4" fillId="0" borderId="0" xfId="1" applyNumberFormat="1" applyFont="1" applyFill="1" applyBorder="1"/>
    <xf numFmtId="170" fontId="4" fillId="0" borderId="24" xfId="1" applyNumberFormat="1" applyFont="1" applyFill="1" applyBorder="1"/>
    <xf numFmtId="170" fontId="5" fillId="0" borderId="25" xfId="1" applyNumberFormat="1" applyFont="1" applyBorder="1"/>
    <xf numFmtId="170" fontId="5" fillId="0" borderId="23" xfId="1" applyNumberFormat="1" applyFont="1" applyBorder="1"/>
    <xf numFmtId="170" fontId="5" fillId="0" borderId="26" xfId="1" applyNumberFormat="1" applyFont="1" applyBorder="1"/>
    <xf numFmtId="170" fontId="5" fillId="0" borderId="27" xfId="1" applyNumberFormat="1" applyFont="1" applyBorder="1"/>
    <xf numFmtId="170" fontId="5" fillId="0" borderId="28" xfId="1" applyNumberFormat="1" applyFont="1" applyBorder="1"/>
    <xf numFmtId="170" fontId="5" fillId="0" borderId="0" xfId="1" applyNumberFormat="1" applyFont="1" applyBorder="1"/>
    <xf numFmtId="170" fontId="5" fillId="0" borderId="19" xfId="1" applyNumberFormat="1" applyFont="1" applyBorder="1"/>
    <xf numFmtId="170" fontId="5" fillId="0" borderId="7" xfId="1" applyNumberFormat="1" applyFont="1" applyBorder="1"/>
    <xf numFmtId="170" fontId="5" fillId="0" borderId="2" xfId="1" applyNumberFormat="1" applyFont="1" applyBorder="1"/>
    <xf numFmtId="170" fontId="5" fillId="0" borderId="24" xfId="1" applyNumberFormat="1" applyFont="1" applyBorder="1"/>
    <xf numFmtId="0" fontId="5" fillId="0" borderId="29" xfId="1" applyFont="1" applyBorder="1"/>
    <xf numFmtId="0" fontId="4" fillId="0" borderId="30" xfId="1" applyNumberFormat="1" applyFont="1" applyBorder="1" applyAlignment="1">
      <alignment horizontal="center"/>
    </xf>
    <xf numFmtId="170" fontId="5" fillId="0" borderId="32" xfId="1" applyNumberFormat="1" applyFont="1" applyBorder="1"/>
    <xf numFmtId="170" fontId="5" fillId="0" borderId="29" xfId="1" applyNumberFormat="1" applyFont="1" applyBorder="1"/>
    <xf numFmtId="170" fontId="5" fillId="0" borderId="30" xfId="1" applyNumberFormat="1" applyFont="1" applyBorder="1"/>
    <xf numFmtId="170" fontId="5" fillId="0" borderId="31" xfId="1" applyNumberFormat="1" applyFont="1" applyBorder="1"/>
    <xf numFmtId="170" fontId="5" fillId="0" borderId="33" xfId="1" applyNumberFormat="1" applyFont="1" applyBorder="1"/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4" fillId="0" borderId="2" xfId="1" applyNumberFormat="1" applyFont="1" applyBorder="1" applyAlignment="1">
      <alignment horizontal="left" indent="1"/>
    </xf>
    <xf numFmtId="170" fontId="4" fillId="0" borderId="2" xfId="1" applyNumberFormat="1" applyFont="1" applyFill="1" applyBorder="1"/>
    <xf numFmtId="0" fontId="4" fillId="0" borderId="2" xfId="1" applyNumberFormat="1" applyFont="1" applyFill="1" applyBorder="1" applyAlignment="1">
      <alignment horizontal="left" indent="1"/>
    </xf>
    <xf numFmtId="170" fontId="4" fillId="0" borderId="0" xfId="2" applyNumberFormat="1" applyFont="1" applyBorder="1"/>
    <xf numFmtId="170" fontId="4" fillId="0" borderId="19" xfId="2" applyNumberFormat="1" applyFont="1" applyFill="1" applyBorder="1"/>
    <xf numFmtId="170" fontId="4" fillId="0" borderId="7" xfId="2" applyNumberFormat="1" applyFont="1" applyBorder="1"/>
    <xf numFmtId="170" fontId="4" fillId="0" borderId="19" xfId="2" applyNumberFormat="1" applyFont="1" applyBorder="1"/>
    <xf numFmtId="170" fontId="4" fillId="0" borderId="24" xfId="2" applyNumberFormat="1" applyFont="1" applyBorder="1"/>
    <xf numFmtId="170" fontId="4" fillId="0" borderId="7" xfId="1" applyNumberFormat="1" applyFont="1" applyFill="1" applyBorder="1"/>
    <xf numFmtId="0" fontId="9" fillId="0" borderId="19" xfId="1" applyNumberFormat="1" applyFont="1" applyBorder="1" applyAlignment="1">
      <alignment horizontal="center"/>
    </xf>
    <xf numFmtId="170" fontId="4" fillId="0" borderId="2" xfId="2" applyNumberFormat="1" applyFont="1" applyBorder="1"/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Border="1"/>
    <xf numFmtId="170" fontId="5" fillId="0" borderId="7" xfId="1" applyNumberFormat="1" applyFont="1" applyFill="1" applyBorder="1"/>
    <xf numFmtId="0" fontId="4" fillId="0" borderId="19" xfId="1" applyNumberFormat="1" applyFont="1" applyFill="1" applyBorder="1" applyAlignment="1">
      <alignment horizontal="center"/>
    </xf>
    <xf numFmtId="170" fontId="5" fillId="0" borderId="33" xfId="1" applyNumberFormat="1" applyFont="1" applyFill="1" applyBorder="1"/>
    <xf numFmtId="0" fontId="4" fillId="0" borderId="2" xfId="1" applyNumberFormat="1" applyFont="1" applyFill="1" applyBorder="1" applyAlignment="1">
      <alignment horizontal="left" indent="2"/>
    </xf>
    <xf numFmtId="0" fontId="4" fillId="0" borderId="2" xfId="1" applyNumberFormat="1" applyFont="1" applyBorder="1" applyAlignment="1">
      <alignment horizontal="left" indent="2"/>
    </xf>
    <xf numFmtId="0" fontId="9" fillId="0" borderId="19" xfId="1" applyNumberFormat="1" applyFont="1" applyFill="1" applyBorder="1" applyAlignment="1">
      <alignment horizontal="center"/>
    </xf>
    <xf numFmtId="0" fontId="5" fillId="0" borderId="2" xfId="1" applyNumberFormat="1" applyFont="1" applyFill="1" applyBorder="1" applyAlignment="1">
      <alignment horizontal="left"/>
    </xf>
    <xf numFmtId="0" fontId="6" fillId="0" borderId="2" xfId="1" applyNumberFormat="1" applyFont="1" applyBorder="1"/>
    <xf numFmtId="0" fontId="8" fillId="0" borderId="19" xfId="1" applyNumberFormat="1" applyFont="1" applyBorder="1" applyAlignment="1">
      <alignment horizontal="center"/>
    </xf>
    <xf numFmtId="167" fontId="8" fillId="0" borderId="19" xfId="3" applyNumberFormat="1" applyFont="1" applyFill="1" applyBorder="1" applyAlignment="1">
      <alignment horizontal="center"/>
    </xf>
    <xf numFmtId="167" fontId="8" fillId="0" borderId="7" xfId="3" applyNumberFormat="1" applyFont="1" applyFill="1" applyBorder="1" applyAlignment="1">
      <alignment horizontal="center"/>
    </xf>
    <xf numFmtId="167" fontId="8" fillId="0" borderId="2" xfId="3" applyNumberFormat="1" applyFont="1" applyFill="1" applyBorder="1" applyAlignment="1">
      <alignment horizontal="center"/>
    </xf>
    <xf numFmtId="167" fontId="8" fillId="0" borderId="0" xfId="3" applyNumberFormat="1" applyFont="1" applyFill="1" applyBorder="1" applyAlignment="1">
      <alignment horizontal="center"/>
    </xf>
    <xf numFmtId="167" fontId="8" fillId="0" borderId="24" xfId="3" applyNumberFormat="1" applyFont="1" applyFill="1" applyBorder="1" applyAlignment="1">
      <alignment horizontal="center"/>
    </xf>
    <xf numFmtId="0" fontId="4" fillId="0" borderId="3" xfId="1" applyNumberFormat="1" applyFont="1" applyBorder="1"/>
    <xf numFmtId="0" fontId="4" fillId="0" borderId="13" xfId="1" applyNumberFormat="1" applyFont="1" applyBorder="1" applyAlignment="1">
      <alignment horizontal="center"/>
    </xf>
    <xf numFmtId="168" fontId="5" fillId="0" borderId="13" xfId="1" applyNumberFormat="1" applyFont="1" applyBorder="1"/>
    <xf numFmtId="168" fontId="5" fillId="0" borderId="9" xfId="1" applyNumberFormat="1" applyFont="1" applyBorder="1"/>
    <xf numFmtId="168" fontId="5" fillId="0" borderId="3" xfId="1" applyNumberFormat="1" applyFont="1" applyBorder="1"/>
    <xf numFmtId="168" fontId="5" fillId="0" borderId="8" xfId="1" applyNumberFormat="1" applyFont="1" applyBorder="1"/>
    <xf numFmtId="168" fontId="5" fillId="0" borderId="39" xfId="1" applyNumberFormat="1" applyFont="1" applyBorder="1"/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70" fontId="5" fillId="0" borderId="19" xfId="1" applyNumberFormat="1" applyFont="1" applyFill="1" applyBorder="1"/>
    <xf numFmtId="170" fontId="5" fillId="0" borderId="2" xfId="1" applyNumberFormat="1" applyFont="1" applyFill="1" applyBorder="1"/>
    <xf numFmtId="170" fontId="5" fillId="0" borderId="0" xfId="1" applyNumberFormat="1" applyFont="1" applyFill="1" applyBorder="1"/>
    <xf numFmtId="0" fontId="5" fillId="0" borderId="20" xfId="1" applyFont="1" applyFill="1" applyBorder="1" applyAlignment="1">
      <alignment vertical="center"/>
    </xf>
    <xf numFmtId="0" fontId="4" fillId="0" borderId="41" xfId="1" applyFont="1" applyBorder="1" applyAlignment="1">
      <alignment horizontal="center"/>
    </xf>
    <xf numFmtId="0" fontId="4" fillId="0" borderId="20" xfId="1" applyNumberFormat="1" applyFont="1" applyBorder="1" applyAlignment="1">
      <alignment horizontal="center"/>
    </xf>
    <xf numFmtId="0" fontId="5" fillId="0" borderId="2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vertical="center"/>
    </xf>
    <xf numFmtId="170" fontId="8" fillId="0" borderId="23" xfId="1" applyNumberFormat="1" applyFont="1" applyFill="1" applyBorder="1"/>
    <xf numFmtId="170" fontId="8" fillId="0" borderId="26" xfId="1" applyNumberFormat="1" applyFont="1" applyFill="1" applyBorder="1"/>
    <xf numFmtId="170" fontId="8" fillId="0" borderId="27" xfId="1" applyNumberFormat="1" applyFont="1" applyFill="1" applyBorder="1"/>
    <xf numFmtId="170" fontId="8" fillId="0" borderId="25" xfId="1" applyNumberFormat="1" applyFont="1" applyFill="1" applyBorder="1"/>
    <xf numFmtId="170" fontId="8" fillId="0" borderId="28" xfId="1" applyNumberFormat="1" applyFont="1" applyFill="1" applyBorder="1"/>
    <xf numFmtId="170" fontId="4" fillId="0" borderId="19" xfId="1" applyNumberFormat="1" applyFont="1" applyFill="1" applyBorder="1" applyProtection="1"/>
    <xf numFmtId="170" fontId="4" fillId="0" borderId="7" xfId="1" applyNumberFormat="1" applyFont="1" applyFill="1" applyBorder="1" applyProtection="1"/>
    <xf numFmtId="170" fontId="4" fillId="0" borderId="2" xfId="1" applyNumberFormat="1" applyFont="1" applyFill="1" applyBorder="1" applyProtection="1"/>
    <xf numFmtId="170" fontId="4" fillId="0" borderId="0" xfId="1" applyNumberFormat="1" applyFont="1" applyFill="1" applyBorder="1" applyProtection="1"/>
    <xf numFmtId="170" fontId="4" fillId="0" borderId="24" xfId="1" applyNumberFormat="1" applyFont="1" applyFill="1" applyBorder="1" applyProtection="1"/>
    <xf numFmtId="170" fontId="4" fillId="0" borderId="45" xfId="1" applyNumberFormat="1" applyFont="1" applyFill="1" applyBorder="1" applyProtection="1"/>
    <xf numFmtId="170" fontId="4" fillId="0" borderId="46" xfId="1" applyNumberFormat="1" applyFont="1" applyFill="1" applyBorder="1" applyProtection="1"/>
    <xf numFmtId="170" fontId="4" fillId="0" borderId="42" xfId="1" applyNumberFormat="1" applyFont="1" applyFill="1" applyBorder="1" applyProtection="1"/>
    <xf numFmtId="170" fontId="4" fillId="0" borderId="47" xfId="1" applyNumberFormat="1" applyFont="1" applyFill="1" applyBorder="1" applyProtection="1"/>
    <xf numFmtId="170" fontId="4" fillId="0" borderId="44" xfId="1" applyNumberFormat="1" applyFont="1" applyFill="1" applyBorder="1" applyProtection="1"/>
    <xf numFmtId="170" fontId="8" fillId="0" borderId="23" xfId="1" applyNumberFormat="1" applyFont="1" applyFill="1" applyBorder="1" applyProtection="1"/>
    <xf numFmtId="170" fontId="8" fillId="0" borderId="26" xfId="1" applyNumberFormat="1" applyFont="1" applyFill="1" applyBorder="1" applyProtection="1"/>
    <xf numFmtId="170" fontId="8" fillId="0" borderId="27" xfId="1" applyNumberFormat="1" applyFont="1" applyFill="1" applyBorder="1" applyProtection="1"/>
    <xf numFmtId="170" fontId="8" fillId="0" borderId="25" xfId="1" applyNumberFormat="1" applyFont="1" applyFill="1" applyBorder="1" applyProtection="1"/>
    <xf numFmtId="170" fontId="8" fillId="0" borderId="28" xfId="1" applyNumberFormat="1" applyFont="1" applyFill="1" applyBorder="1" applyProtection="1"/>
    <xf numFmtId="170" fontId="5" fillId="0" borderId="20" xfId="1" applyNumberFormat="1" applyFont="1" applyBorder="1"/>
    <xf numFmtId="170" fontId="5" fillId="0" borderId="6" xfId="1" applyNumberFormat="1" applyFont="1" applyBorder="1"/>
    <xf numFmtId="170" fontId="5" fillId="0" borderId="11" xfId="1" applyNumberFormat="1" applyFont="1" applyBorder="1"/>
    <xf numFmtId="170" fontId="5" fillId="0" borderId="5" xfId="1" applyNumberFormat="1" applyFont="1" applyBorder="1"/>
    <xf numFmtId="170" fontId="5" fillId="0" borderId="22" xfId="1" applyNumberFormat="1" applyFont="1" applyBorder="1"/>
    <xf numFmtId="0" fontId="7" fillId="0" borderId="2" xfId="1" applyNumberFormat="1" applyFont="1" applyFill="1" applyBorder="1" applyAlignment="1">
      <alignment horizontal="left" indent="1"/>
    </xf>
    <xf numFmtId="0" fontId="5" fillId="0" borderId="39" xfId="1" applyFont="1" applyFill="1" applyBorder="1" applyAlignment="1">
      <alignment horizontal="left" vertical="center"/>
    </xf>
    <xf numFmtId="0" fontId="4" fillId="0" borderId="24" xfId="1" applyNumberFormat="1" applyFont="1" applyFill="1" applyBorder="1" applyAlignment="1">
      <alignment horizontal="left" indent="2"/>
    </xf>
    <xf numFmtId="0" fontId="4" fillId="0" borderId="24" xfId="1" applyNumberFormat="1" applyFont="1" applyBorder="1" applyAlignment="1">
      <alignment horizontal="left" indent="2"/>
    </xf>
    <xf numFmtId="0" fontId="4" fillId="0" borderId="24" xfId="1" applyFont="1" applyBorder="1"/>
    <xf numFmtId="170" fontId="4" fillId="0" borderId="19" xfId="2" applyNumberFormat="1" applyFont="1" applyFill="1" applyBorder="1" applyProtection="1"/>
    <xf numFmtId="170" fontId="4" fillId="0" borderId="7" xfId="2" applyNumberFormat="1" applyFont="1" applyFill="1" applyBorder="1" applyProtection="1"/>
    <xf numFmtId="170" fontId="4" fillId="0" borderId="2" xfId="2" applyNumberFormat="1" applyFont="1" applyFill="1" applyBorder="1" applyProtection="1"/>
    <xf numFmtId="170" fontId="4" fillId="0" borderId="0" xfId="2" applyNumberFormat="1" applyFont="1" applyFill="1" applyBorder="1" applyProtection="1"/>
    <xf numFmtId="170" fontId="4" fillId="0" borderId="24" xfId="2" applyNumberFormat="1" applyFont="1" applyFill="1" applyBorder="1" applyProtection="1"/>
    <xf numFmtId="170" fontId="5" fillId="0" borderId="24" xfId="1" applyNumberFormat="1" applyFont="1" applyFill="1" applyBorder="1"/>
    <xf numFmtId="0" fontId="8" fillId="0" borderId="2" xfId="1" applyNumberFormat="1" applyFont="1" applyFill="1" applyBorder="1" applyAlignment="1">
      <alignment horizontal="left" indent="2"/>
    </xf>
    <xf numFmtId="0" fontId="5" fillId="0" borderId="24" xfId="1" applyNumberFormat="1" applyFont="1" applyBorder="1"/>
    <xf numFmtId="0" fontId="7" fillId="0" borderId="24" xfId="1" applyNumberFormat="1" applyFont="1" applyBorder="1" applyAlignment="1">
      <alignment horizontal="left" indent="1"/>
    </xf>
    <xf numFmtId="0" fontId="8" fillId="0" borderId="24" xfId="1" applyNumberFormat="1" applyFont="1" applyFill="1" applyBorder="1" applyAlignment="1">
      <alignment horizontal="left" indent="2"/>
    </xf>
    <xf numFmtId="0" fontId="4" fillId="0" borderId="24" xfId="1" applyFont="1" applyBorder="1" applyAlignment="1">
      <alignment horizontal="left" indent="2"/>
    </xf>
    <xf numFmtId="0" fontId="5" fillId="0" borderId="33" xfId="1" applyFont="1" applyBorder="1"/>
    <xf numFmtId="0" fontId="5" fillId="0" borderId="11" xfId="1" applyFont="1" applyBorder="1"/>
    <xf numFmtId="170" fontId="4" fillId="3" borderId="19" xfId="1" applyNumberFormat="1" applyFont="1" applyFill="1" applyBorder="1" applyProtection="1">
      <protection locked="0"/>
    </xf>
    <xf numFmtId="170" fontId="4" fillId="3" borderId="24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170" fontId="4" fillId="3" borderId="19" xfId="2" applyNumberFormat="1" applyFont="1" applyFill="1" applyBorder="1" applyProtection="1">
      <protection locked="0"/>
    </xf>
    <xf numFmtId="170" fontId="4" fillId="3" borderId="7" xfId="2" applyNumberFormat="1" applyFont="1" applyFill="1" applyBorder="1" applyProtection="1">
      <protection locked="0"/>
    </xf>
    <xf numFmtId="170" fontId="4" fillId="3" borderId="2" xfId="2" applyNumberFormat="1" applyFont="1" applyFill="1" applyBorder="1" applyProtection="1">
      <protection locked="0"/>
    </xf>
    <xf numFmtId="170" fontId="4" fillId="3" borderId="0" xfId="2" applyNumberFormat="1" applyFont="1" applyFill="1" applyBorder="1" applyProtection="1">
      <protection locked="0"/>
    </xf>
    <xf numFmtId="170" fontId="4" fillId="3" borderId="24" xfId="2" applyNumberFormat="1" applyFont="1" applyFill="1" applyBorder="1" applyProtection="1">
      <protection locked="0"/>
    </xf>
    <xf numFmtId="0" fontId="1" fillId="0" borderId="0" xfId="1"/>
    <xf numFmtId="0" fontId="4" fillId="0" borderId="0" xfId="1" applyFont="1" applyProtection="1"/>
    <xf numFmtId="170" fontId="4" fillId="0" borderId="19" xfId="1" applyNumberFormat="1" applyFont="1" applyFill="1" applyBorder="1" applyProtection="1"/>
    <xf numFmtId="170" fontId="4" fillId="0" borderId="7" xfId="1" applyNumberFormat="1" applyFont="1" applyFill="1" applyBorder="1" applyProtection="1"/>
    <xf numFmtId="170" fontId="4" fillId="0" borderId="2" xfId="1" applyNumberFormat="1" applyFont="1" applyFill="1" applyBorder="1" applyProtection="1"/>
    <xf numFmtId="170" fontId="4" fillId="0" borderId="0" xfId="1" applyNumberFormat="1" applyFont="1" applyFill="1" applyBorder="1" applyProtection="1"/>
    <xf numFmtId="170" fontId="4" fillId="0" borderId="24" xfId="1" applyNumberFormat="1" applyFont="1" applyFill="1" applyBorder="1" applyProtection="1"/>
    <xf numFmtId="170" fontId="4" fillId="0" borderId="28" xfId="1" applyNumberFormat="1" applyFont="1" applyFill="1" applyBorder="1" applyProtection="1"/>
    <xf numFmtId="0" fontId="3" fillId="0" borderId="8" xfId="1" applyFont="1" applyFill="1" applyBorder="1" applyAlignment="1" applyProtection="1">
      <alignment horizontal="left"/>
    </xf>
    <xf numFmtId="0" fontId="2" fillId="0" borderId="0" xfId="1" applyFont="1" applyProtection="1"/>
    <xf numFmtId="0" fontId="5" fillId="0" borderId="18" xfId="1" applyFont="1" applyFill="1" applyBorder="1" applyAlignment="1" applyProtection="1">
      <alignment horizontal="center" vertical="center" wrapText="1"/>
    </xf>
    <xf numFmtId="0" fontId="5" fillId="0" borderId="17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5" fillId="0" borderId="9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7" fillId="0" borderId="2" xfId="1" applyNumberFormat="1" applyFont="1" applyBorder="1" applyProtection="1"/>
    <xf numFmtId="0" fontId="4" fillId="0" borderId="19" xfId="1" applyNumberFormat="1" applyFont="1" applyFill="1" applyBorder="1" applyAlignment="1" applyProtection="1">
      <alignment horizontal="center"/>
    </xf>
    <xf numFmtId="170" fontId="5" fillId="0" borderId="19" xfId="1" applyNumberFormat="1" applyFont="1" applyFill="1" applyBorder="1" applyProtection="1"/>
    <xf numFmtId="170" fontId="5" fillId="0" borderId="7" xfId="1" applyNumberFormat="1" applyFont="1" applyFill="1" applyBorder="1" applyProtection="1"/>
    <xf numFmtId="170" fontId="5" fillId="0" borderId="2" xfId="1" applyNumberFormat="1" applyFont="1" applyFill="1" applyBorder="1" applyProtection="1"/>
    <xf numFmtId="170" fontId="5" fillId="0" borderId="0" xfId="1" applyNumberFormat="1" applyFont="1" applyFill="1" applyBorder="1" applyProtection="1"/>
    <xf numFmtId="170" fontId="5" fillId="0" borderId="24" xfId="1" applyNumberFormat="1" applyFont="1" applyFill="1" applyBorder="1" applyProtection="1"/>
    <xf numFmtId="0" fontId="10" fillId="0" borderId="2" xfId="1" applyNumberFormat="1" applyFont="1" applyBorder="1" applyAlignment="1" applyProtection="1">
      <alignment horizontal="left"/>
    </xf>
    <xf numFmtId="0" fontId="4" fillId="0" borderId="2" xfId="1" applyNumberFormat="1" applyFont="1" applyBorder="1" applyAlignment="1" applyProtection="1">
      <alignment horizontal="left" indent="1"/>
    </xf>
    <xf numFmtId="0" fontId="5" fillId="0" borderId="2" xfId="1" applyNumberFormat="1" applyFont="1" applyBorder="1" applyAlignment="1" applyProtection="1">
      <alignment horizontal="left"/>
    </xf>
    <xf numFmtId="0" fontId="4" fillId="0" borderId="42" xfId="1" applyNumberFormat="1" applyFont="1" applyBorder="1" applyProtection="1"/>
    <xf numFmtId="0" fontId="4" fillId="0" borderId="45" xfId="1" applyNumberFormat="1" applyFont="1" applyFill="1" applyBorder="1" applyAlignment="1" applyProtection="1">
      <alignment horizontal="center"/>
    </xf>
    <xf numFmtId="170" fontId="4" fillId="0" borderId="45" xfId="1" applyNumberFormat="1" applyFont="1" applyFill="1" applyBorder="1" applyProtection="1"/>
    <xf numFmtId="170" fontId="4" fillId="0" borderId="46" xfId="1" applyNumberFormat="1" applyFont="1" applyFill="1" applyBorder="1" applyProtection="1"/>
    <xf numFmtId="170" fontId="4" fillId="0" borderId="42" xfId="1" applyNumberFormat="1" applyFont="1" applyFill="1" applyBorder="1" applyProtection="1"/>
    <xf numFmtId="170" fontId="4" fillId="0" borderId="47" xfId="1" applyNumberFormat="1" applyFont="1" applyFill="1" applyBorder="1" applyProtection="1"/>
    <xf numFmtId="170" fontId="4" fillId="0" borderId="44" xfId="1" applyNumberFormat="1" applyFont="1" applyFill="1" applyBorder="1" applyProtection="1"/>
    <xf numFmtId="170" fontId="4" fillId="0" borderId="51" xfId="1" applyNumberFormat="1" applyFont="1" applyFill="1" applyBorder="1" applyProtection="1"/>
    <xf numFmtId="0" fontId="4" fillId="0" borderId="42" xfId="1" applyNumberFormat="1" applyFont="1" applyBorder="1" applyAlignment="1" applyProtection="1">
      <alignment horizontal="left" indent="1"/>
    </xf>
    <xf numFmtId="0" fontId="4" fillId="0" borderId="2" xfId="1" applyNumberFormat="1" applyFont="1" applyBorder="1" applyProtection="1"/>
    <xf numFmtId="170" fontId="4" fillId="0" borderId="49" xfId="1" applyNumberFormat="1" applyFont="1" applyFill="1" applyBorder="1" applyProtection="1"/>
    <xf numFmtId="0" fontId="4" fillId="0" borderId="13" xfId="1" applyNumberFormat="1" applyFont="1" applyFill="1" applyBorder="1" applyAlignment="1" applyProtection="1">
      <alignment horizontal="center"/>
    </xf>
    <xf numFmtId="170" fontId="5" fillId="0" borderId="30" xfId="1" applyNumberFormat="1" applyFont="1" applyFill="1" applyBorder="1" applyProtection="1"/>
    <xf numFmtId="170" fontId="5" fillId="0" borderId="32" xfId="1" applyNumberFormat="1" applyFont="1" applyFill="1" applyBorder="1" applyProtection="1"/>
    <xf numFmtId="170" fontId="5" fillId="0" borderId="29" xfId="1" applyNumberFormat="1" applyFont="1" applyFill="1" applyBorder="1" applyProtection="1"/>
    <xf numFmtId="170" fontId="5" fillId="0" borderId="31" xfId="1" applyNumberFormat="1" applyFont="1" applyFill="1" applyBorder="1" applyProtection="1"/>
    <xf numFmtId="170" fontId="5" fillId="0" borderId="33" xfId="1" applyNumberFormat="1" applyFont="1" applyFill="1" applyBorder="1" applyProtection="1"/>
    <xf numFmtId="0" fontId="5" fillId="0" borderId="2" xfId="1" applyNumberFormat="1" applyFont="1" applyBorder="1" applyProtection="1"/>
    <xf numFmtId="0" fontId="4" fillId="0" borderId="44" xfId="1" applyNumberFormat="1" applyFont="1" applyBorder="1" applyAlignment="1" applyProtection="1">
      <alignment horizontal="left" indent="1"/>
    </xf>
    <xf numFmtId="0" fontId="7" fillId="0" borderId="24" xfId="1" applyNumberFormat="1" applyFont="1" applyBorder="1" applyProtection="1"/>
    <xf numFmtId="0" fontId="5" fillId="0" borderId="42" xfId="1" applyNumberFormat="1" applyFont="1" applyBorder="1" applyProtection="1"/>
    <xf numFmtId="170" fontId="5" fillId="0" borderId="35" xfId="1" applyNumberFormat="1" applyFont="1" applyFill="1" applyBorder="1" applyProtection="1"/>
    <xf numFmtId="170" fontId="5" fillId="0" borderId="36" xfId="1" applyNumberFormat="1" applyFont="1" applyFill="1" applyBorder="1" applyProtection="1"/>
    <xf numFmtId="170" fontId="5" fillId="0" borderId="37" xfId="1" applyNumberFormat="1" applyFont="1" applyFill="1" applyBorder="1" applyProtection="1"/>
    <xf numFmtId="170" fontId="5" fillId="0" borderId="34" xfId="1" applyNumberFormat="1" applyFont="1" applyFill="1" applyBorder="1" applyProtection="1"/>
    <xf numFmtId="170" fontId="5" fillId="0" borderId="38" xfId="1" applyNumberFormat="1" applyFont="1" applyFill="1" applyBorder="1" applyProtection="1"/>
    <xf numFmtId="0" fontId="5" fillId="0" borderId="3" xfId="1" applyNumberFormat="1" applyFont="1" applyBorder="1" applyAlignment="1" applyProtection="1">
      <alignment wrapText="1"/>
    </xf>
    <xf numFmtId="0" fontId="4" fillId="0" borderId="0" xfId="1" applyFont="1" applyFill="1" applyProtection="1"/>
    <xf numFmtId="0" fontId="8" fillId="0" borderId="2" xfId="1" applyNumberFormat="1" applyFont="1" applyBorder="1" applyAlignment="1" applyProtection="1">
      <alignment horizontal="right" indent="1"/>
    </xf>
    <xf numFmtId="170" fontId="4" fillId="3" borderId="19" xfId="1" applyNumberFormat="1" applyFont="1" applyFill="1" applyBorder="1" applyProtection="1">
      <protection locked="0"/>
    </xf>
    <xf numFmtId="170" fontId="4" fillId="3" borderId="24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171" fontId="4" fillId="3" borderId="19" xfId="1" applyNumberFormat="1" applyFont="1" applyFill="1" applyBorder="1" applyProtection="1">
      <protection locked="0"/>
    </xf>
    <xf numFmtId="171" fontId="4" fillId="3" borderId="7" xfId="1" applyNumberFormat="1" applyFont="1" applyFill="1" applyBorder="1" applyProtection="1">
      <protection locked="0"/>
    </xf>
    <xf numFmtId="171" fontId="4" fillId="3" borderId="2" xfId="2" applyNumberFormat="1" applyFont="1" applyFill="1" applyBorder="1" applyProtection="1">
      <protection locked="0"/>
    </xf>
    <xf numFmtId="171" fontId="4" fillId="3" borderId="0" xfId="1" applyNumberFormat="1" applyFont="1" applyFill="1" applyBorder="1" applyProtection="1">
      <protection locked="0"/>
    </xf>
    <xf numFmtId="171" fontId="4" fillId="3" borderId="24" xfId="1" applyNumberFormat="1" applyFont="1" applyFill="1" applyBorder="1" applyProtection="1">
      <protection locked="0"/>
    </xf>
    <xf numFmtId="171" fontId="4" fillId="3" borderId="19" xfId="2" applyNumberFormat="1" applyFont="1" applyFill="1" applyBorder="1" applyProtection="1">
      <protection locked="0"/>
    </xf>
    <xf numFmtId="171" fontId="4" fillId="3" borderId="7" xfId="2" applyNumberFormat="1" applyFont="1" applyFill="1" applyBorder="1" applyProtection="1">
      <protection locked="0"/>
    </xf>
    <xf numFmtId="171" fontId="4" fillId="3" borderId="0" xfId="2" applyNumberFormat="1" applyFont="1" applyFill="1" applyBorder="1" applyProtection="1">
      <protection locked="0"/>
    </xf>
    <xf numFmtId="171" fontId="4" fillId="3" borderId="24" xfId="2" applyNumberFormat="1" applyFont="1" applyFill="1" applyBorder="1" applyProtection="1">
      <protection locked="0"/>
    </xf>
    <xf numFmtId="171" fontId="4" fillId="3" borderId="45" xfId="1" applyNumberFormat="1" applyFont="1" applyFill="1" applyBorder="1" applyProtection="1">
      <protection locked="0"/>
    </xf>
    <xf numFmtId="171" fontId="4" fillId="3" borderId="46" xfId="1" applyNumberFormat="1" applyFont="1" applyFill="1" applyBorder="1" applyProtection="1">
      <protection locked="0"/>
    </xf>
    <xf numFmtId="171" fontId="4" fillId="3" borderId="42" xfId="2" applyNumberFormat="1" applyFont="1" applyFill="1" applyBorder="1" applyProtection="1">
      <protection locked="0"/>
    </xf>
    <xf numFmtId="171" fontId="4" fillId="3" borderId="45" xfId="2" applyNumberFormat="1" applyFont="1" applyFill="1" applyBorder="1" applyProtection="1">
      <protection locked="0"/>
    </xf>
    <xf numFmtId="171" fontId="4" fillId="3" borderId="47" xfId="2" applyNumberFormat="1" applyFont="1" applyFill="1" applyBorder="1" applyProtection="1">
      <protection locked="0"/>
    </xf>
    <xf numFmtId="171" fontId="4" fillId="3" borderId="44" xfId="1" applyNumberFormat="1" applyFont="1" applyFill="1" applyBorder="1" applyProtection="1">
      <protection locked="0"/>
    </xf>
    <xf numFmtId="171" fontId="4" fillId="3" borderId="49" xfId="1" applyNumberFormat="1" applyFont="1" applyFill="1" applyBorder="1" applyProtection="1">
      <protection locked="0"/>
    </xf>
    <xf numFmtId="0" fontId="4" fillId="0" borderId="19" xfId="1" applyNumberFormat="1" applyFont="1" applyFill="1" applyBorder="1" applyProtection="1"/>
    <xf numFmtId="0" fontId="4" fillId="0" borderId="7" xfId="1" applyNumberFormat="1" applyFont="1" applyFill="1" applyBorder="1" applyProtection="1"/>
    <xf numFmtId="0" fontId="4" fillId="0" borderId="2" xfId="1" applyNumberFormat="1" applyFont="1" applyFill="1" applyBorder="1" applyProtection="1"/>
    <xf numFmtId="0" fontId="4" fillId="0" borderId="0" xfId="1" applyNumberFormat="1" applyFont="1" applyFill="1" applyBorder="1" applyProtection="1"/>
    <xf numFmtId="0" fontId="4" fillId="0" borderId="24" xfId="1" applyNumberFormat="1" applyFont="1" applyFill="1" applyBorder="1" applyProtection="1"/>
    <xf numFmtId="171" fontId="4" fillId="3" borderId="2" xfId="1" applyNumberFormat="1" applyFont="1" applyFill="1" applyBorder="1" applyProtection="1">
      <protection locked="0"/>
    </xf>
    <xf numFmtId="171" fontId="4" fillId="0" borderId="23" xfId="1" applyNumberFormat="1" applyFont="1" applyFill="1" applyBorder="1" applyProtection="1"/>
    <xf numFmtId="171" fontId="4" fillId="0" borderId="26" xfId="1" applyNumberFormat="1" applyFont="1" applyFill="1" applyBorder="1" applyProtection="1"/>
    <xf numFmtId="171" fontId="4" fillId="0" borderId="27" xfId="1" applyNumberFormat="1" applyFont="1" applyFill="1" applyBorder="1" applyProtection="1"/>
    <xf numFmtId="171" fontId="4" fillId="0" borderId="25" xfId="1" applyNumberFormat="1" applyFont="1" applyFill="1" applyBorder="1" applyProtection="1"/>
    <xf numFmtId="171" fontId="4" fillId="0" borderId="28" xfId="1" applyNumberFormat="1" applyFont="1" applyFill="1" applyBorder="1" applyProtection="1"/>
    <xf numFmtId="171" fontId="4" fillId="0" borderId="35" xfId="1" applyNumberFormat="1" applyFont="1" applyFill="1" applyBorder="1" applyProtection="1"/>
    <xf numFmtId="171" fontId="4" fillId="0" borderId="36" xfId="1" applyNumberFormat="1" applyFont="1" applyFill="1" applyBorder="1" applyProtection="1"/>
    <xf numFmtId="171" fontId="4" fillId="0" borderId="37" xfId="1" applyNumberFormat="1" applyFont="1" applyFill="1" applyBorder="1" applyProtection="1"/>
    <xf numFmtId="171" fontId="4" fillId="0" borderId="34" xfId="1" applyNumberFormat="1" applyFont="1" applyFill="1" applyBorder="1" applyProtection="1"/>
    <xf numFmtId="171" fontId="4" fillId="0" borderId="38" xfId="1" applyNumberFormat="1" applyFont="1" applyFill="1" applyBorder="1" applyProtection="1"/>
    <xf numFmtId="171" fontId="5" fillId="0" borderId="23" xfId="1" applyNumberFormat="1" applyFont="1" applyFill="1" applyBorder="1" applyProtection="1"/>
    <xf numFmtId="171" fontId="5" fillId="0" borderId="26" xfId="1" applyNumberFormat="1" applyFont="1" applyFill="1" applyBorder="1" applyProtection="1"/>
    <xf numFmtId="171" fontId="5" fillId="0" borderId="27" xfId="1" applyNumberFormat="1" applyFont="1" applyFill="1" applyBorder="1" applyProtection="1"/>
    <xf numFmtId="171" fontId="5" fillId="0" borderId="25" xfId="1" applyNumberFormat="1" applyFont="1" applyFill="1" applyBorder="1" applyProtection="1"/>
    <xf numFmtId="171" fontId="5" fillId="0" borderId="28" xfId="1" applyNumberFormat="1" applyFont="1" applyFill="1" applyBorder="1" applyProtection="1"/>
    <xf numFmtId="171" fontId="4" fillId="0" borderId="19" xfId="1" applyNumberFormat="1" applyFont="1" applyFill="1" applyBorder="1" applyProtection="1"/>
    <xf numFmtId="171" fontId="4" fillId="0" borderId="7" xfId="1" applyNumberFormat="1" applyFont="1" applyFill="1" applyBorder="1" applyProtection="1"/>
    <xf numFmtId="171" fontId="4" fillId="0" borderId="2" xfId="1" applyNumberFormat="1" applyFont="1" applyFill="1" applyBorder="1" applyProtection="1"/>
    <xf numFmtId="171" fontId="4" fillId="0" borderId="0" xfId="1" applyNumberFormat="1" applyFont="1" applyFill="1" applyBorder="1" applyProtection="1"/>
    <xf numFmtId="171" fontId="4" fillId="0" borderId="24" xfId="1" applyNumberFormat="1" applyFont="1" applyFill="1" applyBorder="1" applyProtection="1"/>
    <xf numFmtId="171" fontId="4" fillId="3" borderId="42" xfId="1" applyNumberFormat="1" applyFont="1" applyFill="1" applyBorder="1" applyProtection="1">
      <protection locked="0"/>
    </xf>
    <xf numFmtId="171" fontId="4" fillId="3" borderId="47" xfId="1" applyNumberFormat="1" applyFont="1" applyFill="1" applyBorder="1" applyProtection="1">
      <protection locked="0"/>
    </xf>
    <xf numFmtId="0" fontId="4" fillId="0" borderId="0" xfId="1" applyNumberFormat="1" applyFont="1" applyFill="1" applyProtection="1"/>
    <xf numFmtId="0" fontId="4" fillId="0" borderId="0" xfId="1" applyNumberFormat="1" applyFont="1" applyProtection="1"/>
    <xf numFmtId="0" fontId="5" fillId="0" borderId="19" xfId="1" applyNumberFormat="1" applyFont="1" applyFill="1" applyBorder="1" applyProtection="1"/>
    <xf numFmtId="0" fontId="5" fillId="0" borderId="7" xfId="1" applyNumberFormat="1" applyFont="1" applyFill="1" applyBorder="1" applyProtection="1"/>
    <xf numFmtId="0" fontId="5" fillId="0" borderId="2" xfId="1" applyNumberFormat="1" applyFont="1" applyFill="1" applyBorder="1" applyProtection="1"/>
    <xf numFmtId="0" fontId="5" fillId="0" borderId="0" xfId="1" applyNumberFormat="1" applyFont="1" applyFill="1" applyBorder="1" applyProtection="1"/>
    <xf numFmtId="0" fontId="5" fillId="0" borderId="24" xfId="1" applyNumberFormat="1" applyFont="1" applyFill="1" applyBorder="1" applyProtection="1"/>
    <xf numFmtId="171" fontId="4" fillId="3" borderId="60" xfId="1" applyNumberFormat="1" applyFont="1" applyFill="1" applyBorder="1" applyProtection="1">
      <protection locked="0"/>
    </xf>
    <xf numFmtId="0" fontId="4" fillId="0" borderId="2" xfId="1" applyNumberFormat="1" applyFont="1" applyBorder="1" applyAlignment="1" applyProtection="1">
      <alignment horizontal="left" wrapText="1" indent="1"/>
    </xf>
    <xf numFmtId="164" fontId="4" fillId="0" borderId="0" xfId="2" applyNumberFormat="1" applyFont="1"/>
    <xf numFmtId="0" fontId="1" fillId="0" borderId="0" xfId="1"/>
    <xf numFmtId="0" fontId="5" fillId="0" borderId="1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/>
    </xf>
    <xf numFmtId="0" fontId="5" fillId="0" borderId="18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/>
    </xf>
    <xf numFmtId="170" fontId="4" fillId="0" borderId="0" xfId="1" applyNumberFormat="1" applyFont="1" applyBorder="1"/>
    <xf numFmtId="170" fontId="4" fillId="0" borderId="19" xfId="1" applyNumberFormat="1" applyFont="1" applyBorder="1"/>
    <xf numFmtId="170" fontId="4" fillId="0" borderId="7" xfId="1" applyNumberFormat="1" applyFont="1" applyBorder="1"/>
    <xf numFmtId="170" fontId="4" fillId="0" borderId="2" xfId="1" applyNumberFormat="1" applyFont="1" applyBorder="1"/>
    <xf numFmtId="170" fontId="4" fillId="0" borderId="19" xfId="1" applyNumberFormat="1" applyFont="1" applyFill="1" applyBorder="1"/>
    <xf numFmtId="170" fontId="4" fillId="0" borderId="0" xfId="1" applyNumberFormat="1" applyFont="1" applyFill="1" applyBorder="1"/>
    <xf numFmtId="170" fontId="5" fillId="0" borderId="31" xfId="1" applyNumberFormat="1" applyFont="1" applyFill="1" applyBorder="1"/>
    <xf numFmtId="170" fontId="5" fillId="0" borderId="30" xfId="1" applyNumberFormat="1" applyFont="1" applyFill="1" applyBorder="1"/>
    <xf numFmtId="0" fontId="7" fillId="0" borderId="2" xfId="1" applyNumberFormat="1" applyFont="1" applyBorder="1"/>
    <xf numFmtId="170" fontId="4" fillId="0" borderId="2" xfId="1" applyNumberFormat="1" applyFont="1" applyFill="1" applyBorder="1"/>
    <xf numFmtId="170" fontId="4" fillId="0" borderId="7" xfId="1" applyNumberFormat="1" applyFont="1" applyFill="1" applyBorder="1"/>
    <xf numFmtId="0" fontId="4" fillId="0" borderId="2" xfId="1" applyNumberFormat="1" applyFont="1" applyBorder="1"/>
    <xf numFmtId="170" fontId="5" fillId="0" borderId="34" xfId="1" applyNumberFormat="1" applyFont="1" applyBorder="1"/>
    <xf numFmtId="170" fontId="5" fillId="0" borderId="35" xfId="1" applyNumberFormat="1" applyFont="1" applyBorder="1"/>
    <xf numFmtId="170" fontId="5" fillId="0" borderId="36" xfId="1" applyNumberFormat="1" applyFont="1" applyBorder="1"/>
    <xf numFmtId="170" fontId="5" fillId="0" borderId="37" xfId="1" applyNumberFormat="1" applyFont="1" applyBorder="1"/>
    <xf numFmtId="0" fontId="5" fillId="0" borderId="3" xfId="1" applyFont="1" applyFill="1" applyBorder="1" applyAlignment="1">
      <alignment horizontal="center" vertical="center" wrapText="1"/>
    </xf>
    <xf numFmtId="170" fontId="5" fillId="0" borderId="7" xfId="1" applyNumberFormat="1" applyFont="1" applyFill="1" applyBorder="1"/>
    <xf numFmtId="170" fontId="5" fillId="0" borderId="32" xfId="1" applyNumberFormat="1" applyFont="1" applyFill="1" applyBorder="1"/>
    <xf numFmtId="170" fontId="5" fillId="0" borderId="29" xfId="1" applyNumberFormat="1" applyFont="1" applyFill="1" applyBorder="1"/>
    <xf numFmtId="0" fontId="4" fillId="0" borderId="0" xfId="1" applyFont="1" applyFill="1"/>
    <xf numFmtId="0" fontId="5" fillId="0" borderId="8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70" fontId="5" fillId="0" borderId="19" xfId="1" applyNumberFormat="1" applyFont="1" applyFill="1" applyBorder="1"/>
    <xf numFmtId="170" fontId="5" fillId="0" borderId="2" xfId="1" applyNumberFormat="1" applyFont="1" applyFill="1" applyBorder="1"/>
    <xf numFmtId="170" fontId="5" fillId="0" borderId="0" xfId="1" applyNumberFormat="1" applyFont="1" applyFill="1" applyBorder="1"/>
    <xf numFmtId="170" fontId="4" fillId="0" borderId="20" xfId="1" applyNumberFormat="1" applyFont="1" applyBorder="1"/>
    <xf numFmtId="170" fontId="4" fillId="0" borderId="41" xfId="1" applyNumberFormat="1" applyFont="1" applyFill="1" applyBorder="1"/>
    <xf numFmtId="170" fontId="4" fillId="0" borderId="1" xfId="1" applyNumberFormat="1" applyFont="1" applyBorder="1"/>
    <xf numFmtId="0" fontId="5" fillId="0" borderId="2" xfId="1" applyNumberFormat="1" applyFont="1" applyFill="1" applyBorder="1"/>
    <xf numFmtId="0" fontId="5" fillId="0" borderId="10" xfId="1" applyFont="1" applyFill="1" applyBorder="1" applyAlignment="1">
      <alignment horizontal="center" vertical="center" wrapText="1"/>
    </xf>
    <xf numFmtId="0" fontId="5" fillId="0" borderId="55" xfId="1" applyFont="1" applyFill="1" applyBorder="1" applyAlignment="1">
      <alignment horizontal="center" vertical="center" wrapText="1"/>
    </xf>
    <xf numFmtId="0" fontId="5" fillId="0" borderId="37" xfId="1" applyNumberFormat="1" applyFont="1" applyBorder="1"/>
    <xf numFmtId="0" fontId="7" fillId="0" borderId="2" xfId="1" applyNumberFormat="1" applyFont="1" applyFill="1" applyBorder="1"/>
    <xf numFmtId="0" fontId="5" fillId="0" borderId="37" xfId="1" applyNumberFormat="1" applyFont="1" applyFill="1" applyBorder="1"/>
    <xf numFmtId="170" fontId="5" fillId="0" borderId="35" xfId="1" applyNumberFormat="1" applyFont="1" applyFill="1" applyBorder="1"/>
    <xf numFmtId="170" fontId="5" fillId="0" borderId="36" xfId="1" applyNumberFormat="1" applyFont="1" applyFill="1" applyBorder="1"/>
    <xf numFmtId="170" fontId="5" fillId="0" borderId="37" xfId="1" applyNumberFormat="1" applyFont="1" applyFill="1" applyBorder="1"/>
    <xf numFmtId="170" fontId="5" fillId="0" borderId="34" xfId="1" applyNumberFormat="1" applyFont="1" applyFill="1" applyBorder="1"/>
    <xf numFmtId="0" fontId="5" fillId="0" borderId="29" xfId="1" applyNumberFormat="1" applyFont="1" applyFill="1" applyBorder="1"/>
    <xf numFmtId="0" fontId="7" fillId="0" borderId="10" xfId="1" applyNumberFormat="1" applyFont="1" applyBorder="1"/>
    <xf numFmtId="0" fontId="5" fillId="0" borderId="59" xfId="1" applyFont="1" applyFill="1" applyBorder="1" applyAlignment="1">
      <alignment horizontal="center" vertical="center" wrapText="1"/>
    </xf>
    <xf numFmtId="170" fontId="4" fillId="0" borderId="1" xfId="1" applyNumberFormat="1" applyFont="1" applyFill="1" applyBorder="1"/>
    <xf numFmtId="0" fontId="5" fillId="0" borderId="37" xfId="1" applyNumberFormat="1" applyFont="1" applyFill="1" applyBorder="1" applyAlignment="1">
      <alignment wrapText="1"/>
    </xf>
    <xf numFmtId="170" fontId="4" fillId="3" borderId="19" xfId="1" applyNumberFormat="1" applyFont="1" applyFill="1" applyBorder="1" applyProtection="1">
      <protection locked="0"/>
    </xf>
    <xf numFmtId="170" fontId="4" fillId="3" borderId="41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170" fontId="4" fillId="3" borderId="1" xfId="1" applyNumberFormat="1" applyFont="1" applyFill="1" applyBorder="1" applyProtection="1">
      <protection locked="0"/>
    </xf>
    <xf numFmtId="0" fontId="4" fillId="3" borderId="2" xfId="1" applyNumberFormat="1" applyFont="1" applyFill="1" applyBorder="1" applyAlignment="1" applyProtection="1">
      <alignment horizontal="left" indent="1"/>
      <protection locked="0"/>
    </xf>
    <xf numFmtId="0" fontId="8" fillId="3" borderId="2" xfId="1" applyNumberFormat="1" applyFont="1" applyFill="1" applyBorder="1" applyAlignment="1" applyProtection="1">
      <alignment horizontal="left" indent="1"/>
      <protection locked="0"/>
    </xf>
    <xf numFmtId="0" fontId="5" fillId="3" borderId="2" xfId="1" applyNumberFormat="1" applyFont="1" applyFill="1" applyBorder="1" applyAlignment="1" applyProtection="1">
      <alignment horizontal="left" indent="1"/>
      <protection locked="0"/>
    </xf>
    <xf numFmtId="49" fontId="5" fillId="0" borderId="11" xfId="1" applyNumberFormat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vertical="center"/>
    </xf>
    <xf numFmtId="0" fontId="5" fillId="0" borderId="39" xfId="1" applyFont="1" applyFill="1" applyBorder="1" applyAlignment="1">
      <alignment vertical="center"/>
    </xf>
    <xf numFmtId="0" fontId="4" fillId="0" borderId="24" xfId="1" applyNumberFormat="1" applyFont="1" applyBorder="1" applyAlignment="1">
      <alignment horizontal="center"/>
    </xf>
    <xf numFmtId="0" fontId="4" fillId="0" borderId="38" xfId="1" applyNumberFormat="1" applyFont="1" applyBorder="1" applyAlignment="1">
      <alignment horizontal="center"/>
    </xf>
    <xf numFmtId="0" fontId="4" fillId="0" borderId="24" xfId="1" applyNumberFormat="1" applyFont="1" applyFill="1" applyBorder="1" applyAlignment="1">
      <alignment horizontal="center"/>
    </xf>
    <xf numFmtId="0" fontId="4" fillId="0" borderId="38" xfId="1" applyNumberFormat="1" applyFont="1" applyFill="1" applyBorder="1" applyAlignment="1">
      <alignment horizontal="center"/>
    </xf>
    <xf numFmtId="0" fontId="4" fillId="0" borderId="33" xfId="1" applyNumberFormat="1" applyFont="1" applyFill="1" applyBorder="1" applyAlignment="1">
      <alignment horizontal="center"/>
    </xf>
    <xf numFmtId="0" fontId="5" fillId="0" borderId="61" xfId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wrapText="1"/>
    </xf>
    <xf numFmtId="0" fontId="5" fillId="0" borderId="2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left" vertical="center"/>
    </xf>
    <xf numFmtId="0" fontId="4" fillId="0" borderId="5" xfId="1" applyNumberFormat="1" applyFont="1" applyFill="1" applyBorder="1" applyAlignment="1">
      <alignment horizontal="center"/>
    </xf>
    <xf numFmtId="170" fontId="5" fillId="0" borderId="5" xfId="1" applyNumberFormat="1" applyFont="1" applyFill="1" applyBorder="1"/>
    <xf numFmtId="0" fontId="4" fillId="0" borderId="22" xfId="1" applyNumberFormat="1" applyFont="1" applyBorder="1" applyAlignment="1">
      <alignment horizontal="center"/>
    </xf>
    <xf numFmtId="170" fontId="4" fillId="0" borderId="6" xfId="1" applyNumberFormat="1" applyFont="1" applyBorder="1"/>
    <xf numFmtId="170" fontId="4" fillId="0" borderId="11" xfId="1" applyNumberFormat="1" applyFont="1" applyBorder="1"/>
    <xf numFmtId="170" fontId="4" fillId="0" borderId="5" xfId="1" applyNumberFormat="1" applyFont="1" applyBorder="1"/>
    <xf numFmtId="170" fontId="4" fillId="0" borderId="41" xfId="1" applyNumberFormat="1" applyFont="1" applyBorder="1"/>
    <xf numFmtId="170" fontId="5" fillId="0" borderId="64" xfId="1" applyNumberFormat="1" applyFont="1" applyBorder="1"/>
    <xf numFmtId="170" fontId="5" fillId="0" borderId="64" xfId="1" applyNumberFormat="1" applyFont="1" applyFill="1" applyBorder="1"/>
    <xf numFmtId="170" fontId="5" fillId="0" borderId="41" xfId="1" applyNumberFormat="1" applyFont="1" applyFill="1" applyBorder="1"/>
    <xf numFmtId="170" fontId="5" fillId="0" borderId="62" xfId="1" applyNumberFormat="1" applyFont="1" applyFill="1" applyBorder="1"/>
    <xf numFmtId="170" fontId="4" fillId="0" borderId="40" xfId="1" applyNumberFormat="1" applyFont="1" applyBorder="1"/>
    <xf numFmtId="0" fontId="5" fillId="0" borderId="58" xfId="1" applyFont="1" applyFill="1" applyBorder="1" applyAlignment="1">
      <alignment horizontal="center" vertical="center" wrapText="1"/>
    </xf>
    <xf numFmtId="170" fontId="5" fillId="0" borderId="57" xfId="1" applyNumberFormat="1" applyFont="1" applyBorder="1"/>
    <xf numFmtId="170" fontId="5" fillId="0" borderId="57" xfId="1" applyNumberFormat="1" applyFont="1" applyFill="1" applyBorder="1"/>
    <xf numFmtId="170" fontId="5" fillId="0" borderId="1" xfId="1" applyNumberFormat="1" applyFont="1" applyFill="1" applyBorder="1"/>
    <xf numFmtId="170" fontId="5" fillId="0" borderId="58" xfId="1" applyNumberFormat="1" applyFont="1" applyFill="1" applyBorder="1"/>
    <xf numFmtId="170" fontId="5" fillId="0" borderId="10" xfId="1" applyNumberFormat="1" applyFont="1" applyFill="1" applyBorder="1"/>
    <xf numFmtId="170" fontId="4" fillId="0" borderId="10" xfId="1" applyNumberFormat="1" applyFont="1" applyBorder="1"/>
    <xf numFmtId="0" fontId="1" fillId="0" borderId="0" xfId="1"/>
    <xf numFmtId="0" fontId="5" fillId="0" borderId="1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/>
    </xf>
    <xf numFmtId="0" fontId="5" fillId="0" borderId="18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/>
    </xf>
    <xf numFmtId="0" fontId="4" fillId="0" borderId="19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 indent="1"/>
    </xf>
    <xf numFmtId="170" fontId="4" fillId="0" borderId="0" xfId="1" applyNumberFormat="1" applyFont="1" applyBorder="1"/>
    <xf numFmtId="170" fontId="4" fillId="0" borderId="19" xfId="1" applyNumberFormat="1" applyFont="1" applyBorder="1"/>
    <xf numFmtId="170" fontId="4" fillId="0" borderId="7" xfId="1" applyNumberFormat="1" applyFont="1" applyBorder="1"/>
    <xf numFmtId="170" fontId="4" fillId="0" borderId="2" xfId="1" applyNumberFormat="1" applyFont="1" applyBorder="1"/>
    <xf numFmtId="170" fontId="5" fillId="0" borderId="0" xfId="1" applyNumberFormat="1" applyFont="1" applyBorder="1"/>
    <xf numFmtId="170" fontId="5" fillId="0" borderId="19" xfId="1" applyNumberFormat="1" applyFont="1" applyBorder="1"/>
    <xf numFmtId="170" fontId="5" fillId="0" borderId="7" xfId="1" applyNumberFormat="1" applyFont="1" applyBorder="1"/>
    <xf numFmtId="170" fontId="5" fillId="0" borderId="2" xfId="1" applyNumberFormat="1" applyFont="1" applyBorder="1"/>
    <xf numFmtId="0" fontId="4" fillId="0" borderId="30" xfId="1" applyNumberFormat="1" applyFont="1" applyBorder="1" applyAlignment="1">
      <alignment horizontal="center"/>
    </xf>
    <xf numFmtId="170" fontId="5" fillId="0" borderId="32" xfId="1" applyNumberFormat="1" applyFont="1" applyBorder="1"/>
    <xf numFmtId="170" fontId="5" fillId="0" borderId="29" xfId="1" applyNumberFormat="1" applyFont="1" applyBorder="1"/>
    <xf numFmtId="170" fontId="5" fillId="0" borderId="30" xfId="1" applyNumberFormat="1" applyFont="1" applyBorder="1"/>
    <xf numFmtId="170" fontId="5" fillId="0" borderId="31" xfId="1" applyNumberFormat="1" applyFont="1" applyBorder="1"/>
    <xf numFmtId="0" fontId="7" fillId="0" borderId="2" xfId="1" applyNumberFormat="1" applyFont="1" applyBorder="1"/>
    <xf numFmtId="0" fontId="4" fillId="0" borderId="2" xfId="1" applyNumberFormat="1" applyFont="1" applyBorder="1" applyAlignment="1">
      <alignment horizontal="left" indent="1"/>
    </xf>
    <xf numFmtId="0" fontId="4" fillId="0" borderId="2" xfId="1" applyNumberFormat="1" applyFont="1" applyFill="1" applyBorder="1" applyAlignment="1">
      <alignment horizontal="left" indent="1"/>
    </xf>
    <xf numFmtId="0" fontId="4" fillId="0" borderId="2" xfId="1" applyNumberFormat="1" applyFont="1" applyBorder="1"/>
    <xf numFmtId="0" fontId="5" fillId="0" borderId="29" xfId="1" applyNumberFormat="1" applyFont="1" applyBorder="1"/>
    <xf numFmtId="0" fontId="5" fillId="0" borderId="3" xfId="1" applyFont="1" applyFill="1" applyBorder="1" applyAlignment="1">
      <alignment horizontal="center" vertical="center" wrapText="1"/>
    </xf>
    <xf numFmtId="170" fontId="5" fillId="0" borderId="20" xfId="1" applyNumberFormat="1" applyFont="1" applyBorder="1" applyAlignment="1">
      <alignment horizontal="center"/>
    </xf>
    <xf numFmtId="170" fontId="5" fillId="0" borderId="5" xfId="1" applyNumberFormat="1" applyFont="1" applyBorder="1" applyAlignment="1">
      <alignment horizontal="center"/>
    </xf>
    <xf numFmtId="170" fontId="5" fillId="0" borderId="11" xfId="1" applyNumberFormat="1" applyFont="1" applyBorder="1" applyAlignment="1">
      <alignment horizontal="center"/>
    </xf>
    <xf numFmtId="170" fontId="5" fillId="0" borderId="6" xfId="1" applyNumberFormat="1" applyFont="1" applyBorder="1" applyAlignment="1">
      <alignment horizontal="center"/>
    </xf>
    <xf numFmtId="170" fontId="5" fillId="0" borderId="19" xfId="1" applyNumberFormat="1" applyFont="1" applyBorder="1" applyAlignment="1">
      <alignment horizontal="center"/>
    </xf>
    <xf numFmtId="170" fontId="5" fillId="0" borderId="0" xfId="1" applyNumberFormat="1" applyFont="1" applyBorder="1" applyAlignment="1">
      <alignment horizontal="center"/>
    </xf>
    <xf numFmtId="170" fontId="5" fillId="0" borderId="2" xfId="1" applyNumberFormat="1" applyFont="1" applyBorder="1" applyAlignment="1">
      <alignment horizontal="center"/>
    </xf>
    <xf numFmtId="170" fontId="5" fillId="0" borderId="7" xfId="1" applyNumberFormat="1" applyFont="1" applyBorder="1" applyAlignment="1">
      <alignment horizontal="center"/>
    </xf>
    <xf numFmtId="170" fontId="5" fillId="0" borderId="7" xfId="1" applyNumberFormat="1" applyFont="1" applyFill="1" applyBorder="1"/>
    <xf numFmtId="0" fontId="4" fillId="0" borderId="19" xfId="1" applyNumberFormat="1" applyFont="1" applyFill="1" applyBorder="1" applyAlignment="1">
      <alignment horizontal="center"/>
    </xf>
    <xf numFmtId="0" fontId="4" fillId="0" borderId="0" xfId="1" applyFont="1" applyFill="1"/>
    <xf numFmtId="0" fontId="5" fillId="0" borderId="8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70" fontId="5" fillId="0" borderId="19" xfId="1" applyNumberFormat="1" applyFont="1" applyFill="1" applyBorder="1"/>
    <xf numFmtId="170" fontId="5" fillId="0" borderId="2" xfId="1" applyNumberFormat="1" applyFont="1" applyFill="1" applyBorder="1"/>
    <xf numFmtId="170" fontId="5" fillId="0" borderId="0" xfId="1" applyNumberFormat="1" applyFont="1" applyFill="1" applyBorder="1"/>
    <xf numFmtId="0" fontId="5" fillId="0" borderId="20" xfId="1" applyFont="1" applyFill="1" applyBorder="1" applyAlignment="1">
      <alignment vertical="center"/>
    </xf>
    <xf numFmtId="0" fontId="4" fillId="0" borderId="0" xfId="1" applyNumberFormat="1" applyFont="1" applyBorder="1" applyAlignment="1">
      <alignment horizontal="center"/>
    </xf>
    <xf numFmtId="0" fontId="4" fillId="0" borderId="20" xfId="1" applyNumberFormat="1" applyFont="1" applyBorder="1" applyAlignment="1">
      <alignment horizontal="center"/>
    </xf>
    <xf numFmtId="0" fontId="5" fillId="0" borderId="55" xfId="1" applyFont="1" applyFill="1" applyBorder="1" applyAlignment="1">
      <alignment horizontal="center" vertical="center" wrapText="1"/>
    </xf>
    <xf numFmtId="0" fontId="8" fillId="0" borderId="2" xfId="1" applyNumberFormat="1" applyFont="1" applyBorder="1"/>
    <xf numFmtId="0" fontId="7" fillId="0" borderId="11" xfId="1" applyNumberFormat="1" applyFont="1" applyBorder="1"/>
    <xf numFmtId="49" fontId="5" fillId="0" borderId="22" xfId="1" applyNumberFormat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center" vertical="center" wrapText="1"/>
    </xf>
    <xf numFmtId="170" fontId="4" fillId="2" borderId="19" xfId="1" applyNumberFormat="1" applyFont="1" applyFill="1" applyBorder="1" applyProtection="1">
      <protection locked="0"/>
    </xf>
    <xf numFmtId="170" fontId="4" fillId="2" borderId="24" xfId="1" applyNumberFormat="1" applyFont="1" applyFill="1" applyBorder="1" applyProtection="1">
      <protection locked="0"/>
    </xf>
    <xf numFmtId="170" fontId="4" fillId="0" borderId="19" xfId="1" applyNumberFormat="1" applyFont="1" applyFill="1" applyBorder="1" applyProtection="1"/>
    <xf numFmtId="170" fontId="4" fillId="0" borderId="7" xfId="1" applyNumberFormat="1" applyFont="1" applyFill="1" applyBorder="1" applyProtection="1"/>
    <xf numFmtId="170" fontId="4" fillId="0" borderId="2" xfId="1" applyNumberFormat="1" applyFont="1" applyFill="1" applyBorder="1" applyProtection="1"/>
    <xf numFmtId="170" fontId="4" fillId="0" borderId="0" xfId="1" applyNumberFormat="1" applyFont="1" applyFill="1" applyBorder="1" applyProtection="1"/>
    <xf numFmtId="170" fontId="4" fillId="0" borderId="24" xfId="1" applyNumberFormat="1" applyFont="1" applyFill="1" applyBorder="1" applyProtection="1"/>
    <xf numFmtId="170" fontId="5" fillId="0" borderId="20" xfId="1" applyNumberFormat="1" applyFont="1" applyBorder="1" applyAlignment="1" applyProtection="1">
      <alignment horizontal="center"/>
    </xf>
    <xf numFmtId="170" fontId="4" fillId="0" borderId="23" xfId="1" applyNumberFormat="1" applyFont="1" applyFill="1" applyBorder="1" applyProtection="1"/>
    <xf numFmtId="170" fontId="4" fillId="0" borderId="28" xfId="1" applyNumberFormat="1" applyFont="1" applyFill="1" applyBorder="1" applyProtection="1"/>
    <xf numFmtId="170" fontId="4" fillId="0" borderId="51" xfId="1" applyNumberFormat="1" applyFont="1" applyFill="1" applyBorder="1" applyProtection="1"/>
    <xf numFmtId="170" fontId="4" fillId="0" borderId="49" xfId="1" applyNumberFormat="1" applyFont="1" applyFill="1" applyBorder="1" applyProtection="1"/>
    <xf numFmtId="0" fontId="8" fillId="0" borderId="2" xfId="1" applyNumberFormat="1" applyFont="1" applyBorder="1" applyAlignment="1">
      <alignment horizontal="left" indent="2"/>
    </xf>
    <xf numFmtId="170" fontId="5" fillId="0" borderId="20" xfId="1" applyNumberFormat="1" applyFont="1" applyBorder="1"/>
    <xf numFmtId="170" fontId="5" fillId="0" borderId="22" xfId="1" applyNumberFormat="1" applyFont="1" applyBorder="1"/>
    <xf numFmtId="0" fontId="4" fillId="0" borderId="3" xfId="1" applyFont="1" applyBorder="1" applyAlignment="1">
      <alignment horizontal="left" indent="1"/>
    </xf>
    <xf numFmtId="170" fontId="4" fillId="0" borderId="52" xfId="1" applyNumberFormat="1" applyFont="1" applyFill="1" applyBorder="1" applyProtection="1"/>
    <xf numFmtId="170" fontId="4" fillId="0" borderId="66" xfId="1" applyNumberFormat="1" applyFont="1" applyFill="1" applyBorder="1" applyProtection="1"/>
    <xf numFmtId="170" fontId="4" fillId="0" borderId="41" xfId="1" applyNumberFormat="1" applyFont="1" applyFill="1" applyBorder="1" applyProtection="1"/>
    <xf numFmtId="170" fontId="4" fillId="0" borderId="61" xfId="1" applyNumberFormat="1" applyFont="1" applyFill="1" applyBorder="1" applyProtection="1"/>
    <xf numFmtId="0" fontId="4" fillId="0" borderId="0" xfId="1" applyFont="1" applyFill="1" applyAlignment="1"/>
    <xf numFmtId="0" fontId="4" fillId="0" borderId="0" xfId="1" applyFont="1" applyFill="1" applyAlignment="1">
      <alignment wrapText="1"/>
    </xf>
    <xf numFmtId="0" fontId="5" fillId="0" borderId="0" xfId="1" applyNumberFormat="1" applyFont="1" applyBorder="1"/>
    <xf numFmtId="0" fontId="7" fillId="0" borderId="11" xfId="1" applyFont="1" applyBorder="1"/>
    <xf numFmtId="0" fontId="4" fillId="0" borderId="10" xfId="1" applyFont="1" applyBorder="1" applyAlignment="1">
      <alignment horizontal="center"/>
    </xf>
    <xf numFmtId="170" fontId="5" fillId="0" borderId="48" xfId="1" applyNumberFormat="1" applyFont="1" applyBorder="1"/>
    <xf numFmtId="0" fontId="4" fillId="0" borderId="1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170" fontId="4" fillId="3" borderId="19" xfId="1" applyNumberFormat="1" applyFont="1" applyFill="1" applyBorder="1" applyProtection="1">
      <protection locked="0"/>
    </xf>
    <xf numFmtId="170" fontId="4" fillId="3" borderId="41" xfId="1" applyNumberFormat="1" applyFont="1" applyFill="1" applyBorder="1" applyProtection="1">
      <protection locked="0"/>
    </xf>
    <xf numFmtId="170" fontId="4" fillId="3" borderId="24" xfId="1" applyNumberFormat="1" applyFont="1" applyFill="1" applyBorder="1" applyProtection="1">
      <protection locked="0"/>
    </xf>
    <xf numFmtId="170" fontId="4" fillId="3" borderId="49" xfId="1" applyNumberFormat="1" applyFont="1" applyFill="1" applyBorder="1" applyProtection="1">
      <protection locked="0"/>
    </xf>
    <xf numFmtId="170" fontId="4" fillId="3" borderId="61" xfId="1" applyNumberFormat="1" applyFont="1" applyFill="1" applyBorder="1" applyProtection="1">
      <protection locked="0"/>
    </xf>
    <xf numFmtId="170" fontId="4" fillId="3" borderId="23" xfId="1" applyNumberFormat="1" applyFont="1" applyFill="1" applyBorder="1" applyProtection="1">
      <protection locked="0"/>
    </xf>
    <xf numFmtId="170" fontId="5" fillId="3" borderId="23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170" fontId="5" fillId="3" borderId="45" xfId="1" applyNumberFormat="1" applyFont="1" applyFill="1" applyBorder="1" applyProtection="1">
      <protection locked="0"/>
    </xf>
    <xf numFmtId="170" fontId="4" fillId="3" borderId="45" xfId="1" applyNumberFormat="1" applyFont="1" applyFill="1" applyBorder="1" applyProtection="1">
      <protection locked="0"/>
    </xf>
    <xf numFmtId="170" fontId="4" fillId="3" borderId="46" xfId="1" applyNumberFormat="1" applyFont="1" applyFill="1" applyBorder="1" applyProtection="1">
      <protection locked="0"/>
    </xf>
    <xf numFmtId="170" fontId="4" fillId="3" borderId="42" xfId="1" applyNumberFormat="1" applyFont="1" applyFill="1" applyBorder="1" applyProtection="1">
      <protection locked="0"/>
    </xf>
    <xf numFmtId="170" fontId="4" fillId="3" borderId="47" xfId="1" applyNumberFormat="1" applyFont="1" applyFill="1" applyBorder="1" applyProtection="1">
      <protection locked="0"/>
    </xf>
    <xf numFmtId="170" fontId="4" fillId="3" borderId="13" xfId="1" applyNumberFormat="1" applyFont="1" applyFill="1" applyBorder="1" applyProtection="1">
      <protection locked="0"/>
    </xf>
    <xf numFmtId="170" fontId="4" fillId="3" borderId="39" xfId="1" applyNumberFormat="1" applyFont="1" applyFill="1" applyBorder="1" applyProtection="1">
      <protection locked="0"/>
    </xf>
    <xf numFmtId="170" fontId="4" fillId="3" borderId="26" xfId="1" applyNumberFormat="1" applyFont="1" applyFill="1" applyBorder="1" applyProtection="1">
      <protection locked="0"/>
    </xf>
    <xf numFmtId="0" fontId="4" fillId="3" borderId="2" xfId="1" applyNumberFormat="1" applyFont="1" applyFill="1" applyBorder="1" applyAlignment="1" applyProtection="1">
      <alignment horizontal="left" indent="1"/>
      <protection locked="0"/>
    </xf>
    <xf numFmtId="0" fontId="8" fillId="3" borderId="2" xfId="1" applyNumberFormat="1" applyFont="1" applyFill="1" applyBorder="1" applyAlignment="1" applyProtection="1">
      <alignment horizontal="left" indent="1"/>
      <protection locked="0"/>
    </xf>
    <xf numFmtId="170" fontId="4" fillId="3" borderId="27" xfId="1" applyNumberFormat="1" applyFont="1" applyFill="1" applyBorder="1" applyProtection="1">
      <protection locked="0"/>
    </xf>
    <xf numFmtId="170" fontId="4" fillId="3" borderId="25" xfId="1" applyNumberFormat="1" applyFont="1" applyFill="1" applyBorder="1" applyProtection="1">
      <protection locked="0"/>
    </xf>
    <xf numFmtId="170" fontId="5" fillId="3" borderId="26" xfId="1" applyNumberFormat="1" applyFont="1" applyFill="1" applyBorder="1" applyProtection="1">
      <protection locked="0"/>
    </xf>
    <xf numFmtId="170" fontId="5" fillId="3" borderId="27" xfId="1" applyNumberFormat="1" applyFont="1" applyFill="1" applyBorder="1" applyProtection="1">
      <protection locked="0"/>
    </xf>
    <xf numFmtId="170" fontId="5" fillId="3" borderId="25" xfId="1" applyNumberFormat="1" applyFont="1" applyFill="1" applyBorder="1" applyProtection="1">
      <protection locked="0"/>
    </xf>
    <xf numFmtId="170" fontId="5" fillId="3" borderId="46" xfId="1" applyNumberFormat="1" applyFont="1" applyFill="1" applyBorder="1" applyProtection="1">
      <protection locked="0"/>
    </xf>
    <xf numFmtId="170" fontId="5" fillId="3" borderId="42" xfId="1" applyNumberFormat="1" applyFont="1" applyFill="1" applyBorder="1" applyProtection="1">
      <protection locked="0"/>
    </xf>
    <xf numFmtId="170" fontId="5" fillId="3" borderId="47" xfId="1" applyNumberFormat="1" applyFont="1" applyFill="1" applyBorder="1" applyProtection="1">
      <protection locked="0"/>
    </xf>
    <xf numFmtId="170" fontId="4" fillId="3" borderId="50" xfId="1" applyNumberFormat="1" applyFont="1" applyFill="1" applyBorder="1" applyProtection="1">
      <protection locked="0"/>
    </xf>
    <xf numFmtId="0" fontId="1" fillId="0" borderId="0" xfId="1"/>
    <xf numFmtId="0" fontId="5" fillId="0" borderId="1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/>
    </xf>
    <xf numFmtId="0" fontId="5" fillId="0" borderId="18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/>
    </xf>
    <xf numFmtId="0" fontId="4" fillId="0" borderId="19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 indent="1"/>
    </xf>
    <xf numFmtId="170" fontId="4" fillId="0" borderId="0" xfId="1" applyNumberFormat="1" applyFont="1" applyBorder="1"/>
    <xf numFmtId="170" fontId="4" fillId="0" borderId="19" xfId="1" applyNumberFormat="1" applyFont="1" applyBorder="1"/>
    <xf numFmtId="170" fontId="4" fillId="0" borderId="7" xfId="1" applyNumberFormat="1" applyFont="1" applyBorder="1"/>
    <xf numFmtId="170" fontId="4" fillId="0" borderId="2" xfId="1" applyNumberFormat="1" applyFont="1" applyBorder="1"/>
    <xf numFmtId="170" fontId="5" fillId="0" borderId="0" xfId="1" applyNumberFormat="1" applyFont="1" applyBorder="1"/>
    <xf numFmtId="170" fontId="5" fillId="0" borderId="19" xfId="1" applyNumberFormat="1" applyFont="1" applyBorder="1"/>
    <xf numFmtId="170" fontId="5" fillId="0" borderId="7" xfId="1" applyNumberFormat="1" applyFont="1" applyBorder="1"/>
    <xf numFmtId="170" fontId="5" fillId="0" borderId="2" xfId="1" applyNumberFormat="1" applyFont="1" applyBorder="1"/>
    <xf numFmtId="0" fontId="4" fillId="0" borderId="30" xfId="1" applyNumberFormat="1" applyFont="1" applyBorder="1" applyAlignment="1">
      <alignment horizontal="center"/>
    </xf>
    <xf numFmtId="170" fontId="5" fillId="0" borderId="32" xfId="1" applyNumberFormat="1" applyFont="1" applyBorder="1"/>
    <xf numFmtId="170" fontId="5" fillId="0" borderId="29" xfId="1" applyNumberFormat="1" applyFont="1" applyBorder="1"/>
    <xf numFmtId="170" fontId="5" fillId="0" borderId="30" xfId="1" applyNumberFormat="1" applyFont="1" applyBorder="1"/>
    <xf numFmtId="170" fontId="5" fillId="0" borderId="31" xfId="1" applyNumberFormat="1" applyFont="1" applyBorder="1"/>
    <xf numFmtId="0" fontId="8" fillId="0" borderId="0" xfId="1" applyFont="1" applyBorder="1" applyAlignment="1">
      <alignment horizontal="center"/>
    </xf>
    <xf numFmtId="0" fontId="7" fillId="0" borderId="2" xfId="1" applyNumberFormat="1" applyFont="1" applyBorder="1"/>
    <xf numFmtId="0" fontId="4" fillId="0" borderId="2" xfId="1" applyNumberFormat="1" applyFont="1" applyBorder="1" applyAlignment="1">
      <alignment horizontal="left" indent="1"/>
    </xf>
    <xf numFmtId="0" fontId="4" fillId="0" borderId="2" xfId="1" applyNumberFormat="1" applyFont="1" applyFill="1" applyBorder="1" applyAlignment="1">
      <alignment horizontal="left" indent="1"/>
    </xf>
    <xf numFmtId="0" fontId="4" fillId="0" borderId="2" xfId="1" applyNumberFormat="1" applyFont="1" applyBorder="1"/>
    <xf numFmtId="0" fontId="5" fillId="0" borderId="29" xfId="1" applyNumberFormat="1" applyFont="1" applyBorder="1"/>
    <xf numFmtId="0" fontId="8" fillId="0" borderId="2" xfId="1" applyFont="1" applyBorder="1" applyAlignment="1">
      <alignment horizontal="right"/>
    </xf>
    <xf numFmtId="0" fontId="5" fillId="0" borderId="3" xfId="1" applyFont="1" applyFill="1" applyBorder="1" applyAlignment="1">
      <alignment horizontal="center" vertical="center" wrapText="1"/>
    </xf>
    <xf numFmtId="170" fontId="5" fillId="0" borderId="20" xfId="1" applyNumberFormat="1" applyFont="1" applyBorder="1" applyAlignment="1">
      <alignment horizontal="center"/>
    </xf>
    <xf numFmtId="170" fontId="5" fillId="0" borderId="5" xfId="1" applyNumberFormat="1" applyFont="1" applyBorder="1" applyAlignment="1">
      <alignment horizontal="center"/>
    </xf>
    <xf numFmtId="170" fontId="5" fillId="0" borderId="11" xfId="1" applyNumberFormat="1" applyFont="1" applyBorder="1" applyAlignment="1">
      <alignment horizontal="center"/>
    </xf>
    <xf numFmtId="170" fontId="5" fillId="0" borderId="6" xfId="1" applyNumberFormat="1" applyFont="1" applyBorder="1" applyAlignment="1">
      <alignment horizontal="center"/>
    </xf>
    <xf numFmtId="170" fontId="5" fillId="0" borderId="19" xfId="1" applyNumberFormat="1" applyFont="1" applyBorder="1" applyAlignment="1">
      <alignment horizontal="center"/>
    </xf>
    <xf numFmtId="170" fontId="5" fillId="0" borderId="0" xfId="1" applyNumberFormat="1" applyFont="1" applyBorder="1" applyAlignment="1">
      <alignment horizontal="center"/>
    </xf>
    <xf numFmtId="170" fontId="5" fillId="0" borderId="2" xfId="1" applyNumberFormat="1" applyFont="1" applyBorder="1" applyAlignment="1">
      <alignment horizontal="center"/>
    </xf>
    <xf numFmtId="170" fontId="5" fillId="0" borderId="7" xfId="1" applyNumberFormat="1" applyFont="1" applyBorder="1" applyAlignment="1">
      <alignment horizontal="center"/>
    </xf>
    <xf numFmtId="0" fontId="4" fillId="0" borderId="2" xfId="1" applyFont="1" applyFill="1" applyBorder="1" applyAlignment="1">
      <alignment horizontal="left" indent="1"/>
    </xf>
    <xf numFmtId="170" fontId="5" fillId="0" borderId="7" xfId="1" applyNumberFormat="1" applyFont="1" applyFill="1" applyBorder="1"/>
    <xf numFmtId="0" fontId="4" fillId="0" borderId="19" xfId="1" applyNumberFormat="1" applyFont="1" applyFill="1" applyBorder="1" applyAlignment="1">
      <alignment horizontal="center"/>
    </xf>
    <xf numFmtId="0" fontId="4" fillId="0" borderId="0" xfId="1" applyFont="1" applyFill="1" applyBorder="1"/>
    <xf numFmtId="0" fontId="4" fillId="0" borderId="0" xfId="1" applyFont="1" applyFill="1"/>
    <xf numFmtId="0" fontId="5" fillId="0" borderId="8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70" fontId="5" fillId="0" borderId="19" xfId="1" applyNumberFormat="1" applyFont="1" applyFill="1" applyBorder="1"/>
    <xf numFmtId="170" fontId="5" fillId="0" borderId="2" xfId="1" applyNumberFormat="1" applyFont="1" applyFill="1" applyBorder="1"/>
    <xf numFmtId="170" fontId="5" fillId="0" borderId="0" xfId="1" applyNumberFormat="1" applyFont="1" applyFill="1" applyBorder="1"/>
    <xf numFmtId="0" fontId="5" fillId="0" borderId="2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/>
    </xf>
    <xf numFmtId="164" fontId="4" fillId="0" borderId="0" xfId="2" applyNumberFormat="1" applyFont="1" applyBorder="1"/>
    <xf numFmtId="0" fontId="4" fillId="0" borderId="0" xfId="1" applyNumberFormat="1" applyFont="1" applyBorder="1" applyAlignment="1">
      <alignment horizontal="center"/>
    </xf>
    <xf numFmtId="0" fontId="4" fillId="0" borderId="20" xfId="1" applyNumberFormat="1" applyFont="1" applyBorder="1" applyAlignment="1">
      <alignment horizontal="center"/>
    </xf>
    <xf numFmtId="0" fontId="5" fillId="0" borderId="55" xfId="1" applyFont="1" applyFill="1" applyBorder="1" applyAlignment="1">
      <alignment horizontal="center" vertical="center" wrapText="1"/>
    </xf>
    <xf numFmtId="0" fontId="7" fillId="0" borderId="2" xfId="1" applyNumberFormat="1" applyFont="1" applyFill="1" applyBorder="1"/>
    <xf numFmtId="0" fontId="4" fillId="0" borderId="2" xfId="1" applyNumberFormat="1" applyFont="1" applyFill="1" applyBorder="1"/>
    <xf numFmtId="0" fontId="8" fillId="0" borderId="2" xfId="1" applyNumberFormat="1" applyFont="1" applyBorder="1"/>
    <xf numFmtId="0" fontId="7" fillId="0" borderId="11" xfId="1" applyNumberFormat="1" applyFont="1" applyBorder="1"/>
    <xf numFmtId="49" fontId="5" fillId="0" borderId="22" xfId="1" applyNumberFormat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center" vertical="center" wrapText="1"/>
    </xf>
    <xf numFmtId="170" fontId="4" fillId="2" borderId="19" xfId="1" applyNumberFormat="1" applyFont="1" applyFill="1" applyBorder="1" applyProtection="1">
      <protection locked="0"/>
    </xf>
    <xf numFmtId="170" fontId="4" fillId="0" borderId="19" xfId="1" applyNumberFormat="1" applyFont="1" applyFill="1" applyBorder="1" applyProtection="1"/>
    <xf numFmtId="170" fontId="4" fillId="0" borderId="7" xfId="1" applyNumberFormat="1" applyFont="1" applyFill="1" applyBorder="1" applyProtection="1"/>
    <xf numFmtId="170" fontId="4" fillId="0" borderId="2" xfId="1" applyNumberFormat="1" applyFont="1" applyFill="1" applyBorder="1" applyProtection="1"/>
    <xf numFmtId="170" fontId="4" fillId="0" borderId="0" xfId="1" applyNumberFormat="1" applyFont="1" applyFill="1" applyBorder="1" applyProtection="1"/>
    <xf numFmtId="170" fontId="4" fillId="0" borderId="24" xfId="1" applyNumberFormat="1" applyFont="1" applyFill="1" applyBorder="1" applyProtection="1"/>
    <xf numFmtId="0" fontId="4" fillId="0" borderId="0" xfId="1" applyFont="1" applyFill="1" applyProtection="1">
      <protection locked="0"/>
    </xf>
    <xf numFmtId="170" fontId="5" fillId="0" borderId="20" xfId="1" applyNumberFormat="1" applyFont="1" applyBorder="1" applyAlignment="1" applyProtection="1">
      <alignment horizontal="center"/>
    </xf>
    <xf numFmtId="170" fontId="4" fillId="0" borderId="23" xfId="1" applyNumberFormat="1" applyFont="1" applyFill="1" applyBorder="1" applyProtection="1"/>
    <xf numFmtId="170" fontId="4" fillId="0" borderId="28" xfId="1" applyNumberFormat="1" applyFont="1" applyFill="1" applyBorder="1" applyProtection="1"/>
    <xf numFmtId="170" fontId="4" fillId="0" borderId="51" xfId="1" applyNumberFormat="1" applyFont="1" applyFill="1" applyBorder="1" applyProtection="1"/>
    <xf numFmtId="170" fontId="4" fillId="0" borderId="49" xfId="1" applyNumberFormat="1" applyFont="1" applyFill="1" applyBorder="1" applyProtection="1"/>
    <xf numFmtId="0" fontId="8" fillId="0" borderId="2" xfId="1" applyNumberFormat="1" applyFont="1" applyBorder="1" applyAlignment="1">
      <alignment horizontal="left" indent="2"/>
    </xf>
    <xf numFmtId="170" fontId="5" fillId="0" borderId="20" xfId="1" applyNumberFormat="1" applyFont="1" applyBorder="1"/>
    <xf numFmtId="170" fontId="5" fillId="0" borderId="22" xfId="1" applyNumberFormat="1" applyFont="1" applyBorder="1"/>
    <xf numFmtId="0" fontId="4" fillId="0" borderId="3" xfId="1" applyFont="1" applyBorder="1" applyAlignment="1">
      <alignment horizontal="left" indent="1"/>
    </xf>
    <xf numFmtId="170" fontId="4" fillId="0" borderId="0" xfId="1" applyNumberFormat="1" applyFont="1" applyFill="1" applyBorder="1" applyProtection="1">
      <protection locked="0"/>
    </xf>
    <xf numFmtId="170" fontId="4" fillId="0" borderId="52" xfId="1" applyNumberFormat="1" applyFont="1" applyFill="1" applyBorder="1" applyProtection="1"/>
    <xf numFmtId="170" fontId="4" fillId="0" borderId="66" xfId="1" applyNumberFormat="1" applyFont="1" applyFill="1" applyBorder="1" applyProtection="1"/>
    <xf numFmtId="170" fontId="4" fillId="0" borderId="41" xfId="1" applyNumberFormat="1" applyFont="1" applyFill="1" applyBorder="1" applyProtection="1"/>
    <xf numFmtId="170" fontId="4" fillId="0" borderId="61" xfId="1" applyNumberFormat="1" applyFont="1" applyFill="1" applyBorder="1" applyProtection="1"/>
    <xf numFmtId="0" fontId="4" fillId="0" borderId="0" xfId="1" applyFont="1" applyFill="1" applyAlignment="1"/>
    <xf numFmtId="0" fontId="4" fillId="0" borderId="0" xfId="1" applyFont="1" applyFill="1" applyAlignment="1">
      <alignment wrapText="1"/>
    </xf>
    <xf numFmtId="170" fontId="4" fillId="0" borderId="0" xfId="1" applyNumberFormat="1" applyFont="1" applyFill="1" applyProtection="1">
      <protection locked="0"/>
    </xf>
    <xf numFmtId="0" fontId="5" fillId="0" borderId="0" xfId="1" applyNumberFormat="1" applyFont="1" applyBorder="1"/>
    <xf numFmtId="0" fontId="7" fillId="0" borderId="11" xfId="1" applyFont="1" applyBorder="1"/>
    <xf numFmtId="170" fontId="5" fillId="0" borderId="48" xfId="1" applyNumberFormat="1" applyFont="1" applyBorder="1"/>
    <xf numFmtId="170" fontId="4" fillId="3" borderId="19" xfId="1" applyNumberFormat="1" applyFont="1" applyFill="1" applyBorder="1" applyProtection="1">
      <protection locked="0"/>
    </xf>
    <xf numFmtId="170" fontId="4" fillId="3" borderId="41" xfId="1" applyNumberFormat="1" applyFont="1" applyFill="1" applyBorder="1" applyProtection="1">
      <protection locked="0"/>
    </xf>
    <xf numFmtId="170" fontId="4" fillId="3" borderId="24" xfId="1" applyNumberFormat="1" applyFont="1" applyFill="1" applyBorder="1" applyProtection="1">
      <protection locked="0"/>
    </xf>
    <xf numFmtId="170" fontId="4" fillId="3" borderId="49" xfId="1" applyNumberFormat="1" applyFont="1" applyFill="1" applyBorder="1" applyProtection="1">
      <protection locked="0"/>
    </xf>
    <xf numFmtId="170" fontId="4" fillId="3" borderId="61" xfId="1" applyNumberFormat="1" applyFont="1" applyFill="1" applyBorder="1" applyProtection="1">
      <protection locked="0"/>
    </xf>
    <xf numFmtId="170" fontId="4" fillId="3" borderId="23" xfId="1" applyNumberFormat="1" applyFont="1" applyFill="1" applyBorder="1" applyProtection="1">
      <protection locked="0"/>
    </xf>
    <xf numFmtId="170" fontId="5" fillId="3" borderId="23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170" fontId="5" fillId="3" borderId="45" xfId="1" applyNumberFormat="1" applyFont="1" applyFill="1" applyBorder="1" applyProtection="1">
      <protection locked="0"/>
    </xf>
    <xf numFmtId="170" fontId="4" fillId="3" borderId="45" xfId="1" applyNumberFormat="1" applyFont="1" applyFill="1" applyBorder="1" applyProtection="1">
      <protection locked="0"/>
    </xf>
    <xf numFmtId="170" fontId="4" fillId="3" borderId="46" xfId="1" applyNumberFormat="1" applyFont="1" applyFill="1" applyBorder="1" applyProtection="1">
      <protection locked="0"/>
    </xf>
    <xf numFmtId="170" fontId="4" fillId="3" borderId="42" xfId="1" applyNumberFormat="1" applyFont="1" applyFill="1" applyBorder="1" applyProtection="1">
      <protection locked="0"/>
    </xf>
    <xf numFmtId="170" fontId="4" fillId="3" borderId="47" xfId="1" applyNumberFormat="1" applyFont="1" applyFill="1" applyBorder="1" applyProtection="1">
      <protection locked="0"/>
    </xf>
    <xf numFmtId="170" fontId="4" fillId="3" borderId="13" xfId="1" applyNumberFormat="1" applyFont="1" applyFill="1" applyBorder="1" applyProtection="1">
      <protection locked="0"/>
    </xf>
    <xf numFmtId="170" fontId="4" fillId="3" borderId="39" xfId="1" applyNumberFormat="1" applyFont="1" applyFill="1" applyBorder="1" applyProtection="1">
      <protection locked="0"/>
    </xf>
    <xf numFmtId="170" fontId="4" fillId="3" borderId="26" xfId="1" applyNumberFormat="1" applyFont="1" applyFill="1" applyBorder="1" applyProtection="1">
      <protection locked="0"/>
    </xf>
    <xf numFmtId="0" fontId="4" fillId="3" borderId="2" xfId="1" applyNumberFormat="1" applyFont="1" applyFill="1" applyBorder="1" applyAlignment="1" applyProtection="1">
      <alignment horizontal="left" indent="1"/>
      <protection locked="0"/>
    </xf>
    <xf numFmtId="0" fontId="8" fillId="3" borderId="2" xfId="1" applyNumberFormat="1" applyFont="1" applyFill="1" applyBorder="1" applyAlignment="1" applyProtection="1">
      <alignment horizontal="left" indent="1"/>
      <protection locked="0"/>
    </xf>
    <xf numFmtId="170" fontId="4" fillId="3" borderId="27" xfId="1" applyNumberFormat="1" applyFont="1" applyFill="1" applyBorder="1" applyProtection="1">
      <protection locked="0"/>
    </xf>
    <xf numFmtId="170" fontId="4" fillId="3" borderId="25" xfId="1" applyNumberFormat="1" applyFont="1" applyFill="1" applyBorder="1" applyProtection="1">
      <protection locked="0"/>
    </xf>
    <xf numFmtId="170" fontId="5" fillId="3" borderId="26" xfId="1" applyNumberFormat="1" applyFont="1" applyFill="1" applyBorder="1" applyProtection="1">
      <protection locked="0"/>
    </xf>
    <xf numFmtId="170" fontId="5" fillId="3" borderId="27" xfId="1" applyNumberFormat="1" applyFont="1" applyFill="1" applyBorder="1" applyProtection="1">
      <protection locked="0"/>
    </xf>
    <xf numFmtId="170" fontId="5" fillId="3" borderId="25" xfId="1" applyNumberFormat="1" applyFont="1" applyFill="1" applyBorder="1" applyProtection="1">
      <protection locked="0"/>
    </xf>
    <xf numFmtId="170" fontId="5" fillId="3" borderId="46" xfId="1" applyNumberFormat="1" applyFont="1" applyFill="1" applyBorder="1" applyProtection="1">
      <protection locked="0"/>
    </xf>
    <xf numFmtId="170" fontId="5" fillId="3" borderId="42" xfId="1" applyNumberFormat="1" applyFont="1" applyFill="1" applyBorder="1" applyProtection="1">
      <protection locked="0"/>
    </xf>
    <xf numFmtId="170" fontId="5" fillId="3" borderId="47" xfId="1" applyNumberFormat="1" applyFont="1" applyFill="1" applyBorder="1" applyProtection="1">
      <protection locked="0"/>
    </xf>
    <xf numFmtId="170" fontId="4" fillId="3" borderId="50" xfId="1" applyNumberFormat="1" applyFont="1" applyFill="1" applyBorder="1" applyProtection="1">
      <protection locked="0"/>
    </xf>
    <xf numFmtId="0" fontId="6" fillId="0" borderId="3" xfId="1" applyNumberFormat="1" applyFont="1" applyBorder="1"/>
    <xf numFmtId="0" fontId="8" fillId="0" borderId="13" xfId="1" applyNumberFormat="1" applyFont="1" applyBorder="1" applyAlignment="1">
      <alignment horizontal="center"/>
    </xf>
    <xf numFmtId="167" fontId="8" fillId="0" borderId="13" xfId="3" applyNumberFormat="1" applyFont="1" applyFill="1" applyBorder="1" applyAlignment="1">
      <alignment horizontal="center"/>
    </xf>
    <xf numFmtId="167" fontId="8" fillId="0" borderId="9" xfId="3" applyNumberFormat="1" applyFont="1" applyFill="1" applyBorder="1" applyAlignment="1">
      <alignment horizontal="center"/>
    </xf>
    <xf numFmtId="167" fontId="8" fillId="0" borderId="3" xfId="3" applyNumberFormat="1" applyFont="1" applyFill="1" applyBorder="1" applyAlignment="1">
      <alignment horizontal="center"/>
    </xf>
    <xf numFmtId="167" fontId="8" fillId="0" borderId="8" xfId="3" applyNumberFormat="1" applyFont="1" applyFill="1" applyBorder="1" applyAlignment="1">
      <alignment horizontal="center"/>
    </xf>
    <xf numFmtId="167" fontId="8" fillId="0" borderId="39" xfId="3" applyNumberFormat="1" applyFont="1" applyFill="1" applyBorder="1" applyAlignment="1">
      <alignment horizontal="center"/>
    </xf>
    <xf numFmtId="0" fontId="4" fillId="0" borderId="48" xfId="1" applyFont="1" applyBorder="1" applyAlignment="1">
      <alignment horizontal="center"/>
    </xf>
    <xf numFmtId="0" fontId="4" fillId="0" borderId="49" xfId="1" applyFont="1" applyBorder="1" applyAlignment="1">
      <alignment horizontal="center"/>
    </xf>
    <xf numFmtId="0" fontId="4" fillId="0" borderId="50" xfId="1" applyFont="1" applyBorder="1" applyAlignment="1">
      <alignment horizontal="center"/>
    </xf>
    <xf numFmtId="0" fontId="6" fillId="0" borderId="11" xfId="1" applyNumberFormat="1" applyFont="1" applyBorder="1"/>
    <xf numFmtId="0" fontId="8" fillId="0" borderId="20" xfId="1" applyNumberFormat="1" applyFont="1" applyBorder="1" applyAlignment="1">
      <alignment horizontal="center"/>
    </xf>
    <xf numFmtId="167" fontId="8" fillId="0" borderId="20" xfId="3" applyNumberFormat="1" applyFont="1" applyFill="1" applyBorder="1" applyAlignment="1">
      <alignment horizontal="center"/>
    </xf>
    <xf numFmtId="167" fontId="8" fillId="0" borderId="6" xfId="3" applyNumberFormat="1" applyFont="1" applyFill="1" applyBorder="1" applyAlignment="1">
      <alignment horizontal="center"/>
    </xf>
    <xf numFmtId="167" fontId="8" fillId="0" borderId="11" xfId="3" applyNumberFormat="1" applyFont="1" applyFill="1" applyBorder="1" applyAlignment="1">
      <alignment horizontal="center"/>
    </xf>
    <xf numFmtId="167" fontId="8" fillId="0" borderId="5" xfId="3" applyNumberFormat="1" applyFont="1" applyFill="1" applyBorder="1" applyAlignment="1">
      <alignment horizontal="center"/>
    </xf>
    <xf numFmtId="167" fontId="8" fillId="0" borderId="22" xfId="3" applyNumberFormat="1" applyFont="1" applyFill="1" applyBorder="1" applyAlignment="1">
      <alignment horizontal="center"/>
    </xf>
    <xf numFmtId="0" fontId="1" fillId="0" borderId="0" xfId="1"/>
    <xf numFmtId="0" fontId="5" fillId="0" borderId="1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/>
    </xf>
    <xf numFmtId="0" fontId="5" fillId="0" borderId="18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/>
    </xf>
    <xf numFmtId="0" fontId="4" fillId="0" borderId="19" xfId="1" applyNumberFormat="1" applyFont="1" applyBorder="1" applyAlignment="1">
      <alignment horizontal="center"/>
    </xf>
    <xf numFmtId="0" fontId="4" fillId="0" borderId="2" xfId="1" applyFont="1" applyBorder="1" applyAlignment="1">
      <alignment horizontal="left" indent="1"/>
    </xf>
    <xf numFmtId="170" fontId="4" fillId="0" borderId="0" xfId="1" applyNumberFormat="1" applyFont="1" applyBorder="1"/>
    <xf numFmtId="170" fontId="4" fillId="0" borderId="19" xfId="1" applyNumberFormat="1" applyFont="1" applyBorder="1"/>
    <xf numFmtId="170" fontId="4" fillId="0" borderId="7" xfId="1" applyNumberFormat="1" applyFont="1" applyBorder="1"/>
    <xf numFmtId="170" fontId="4" fillId="0" borderId="2" xfId="1" applyNumberFormat="1" applyFont="1" applyBorder="1"/>
    <xf numFmtId="170" fontId="5" fillId="0" borderId="0" xfId="1" applyNumberFormat="1" applyFont="1" applyBorder="1"/>
    <xf numFmtId="170" fontId="5" fillId="0" borderId="19" xfId="1" applyNumberFormat="1" applyFont="1" applyBorder="1"/>
    <xf numFmtId="170" fontId="5" fillId="0" borderId="7" xfId="1" applyNumberFormat="1" applyFont="1" applyBorder="1"/>
    <xf numFmtId="170" fontId="5" fillId="0" borderId="2" xfId="1" applyNumberFormat="1" applyFont="1" applyBorder="1"/>
    <xf numFmtId="0" fontId="4" fillId="0" borderId="30" xfId="1" applyNumberFormat="1" applyFont="1" applyBorder="1" applyAlignment="1">
      <alignment horizontal="center"/>
    </xf>
    <xf numFmtId="170" fontId="5" fillId="0" borderId="32" xfId="1" applyNumberFormat="1" applyFont="1" applyBorder="1"/>
    <xf numFmtId="170" fontId="5" fillId="0" borderId="29" xfId="1" applyNumberFormat="1" applyFont="1" applyBorder="1"/>
    <xf numFmtId="170" fontId="5" fillId="0" borderId="30" xfId="1" applyNumberFormat="1" applyFont="1" applyBorder="1"/>
    <xf numFmtId="170" fontId="5" fillId="0" borderId="31" xfId="1" applyNumberFormat="1" applyFont="1" applyBorder="1"/>
    <xf numFmtId="0" fontId="7" fillId="0" borderId="2" xfId="1" applyNumberFormat="1" applyFont="1" applyBorder="1"/>
    <xf numFmtId="0" fontId="4" fillId="0" borderId="2" xfId="1" applyNumberFormat="1" applyFont="1" applyBorder="1" applyAlignment="1">
      <alignment horizontal="left" indent="1"/>
    </xf>
    <xf numFmtId="0" fontId="4" fillId="0" borderId="2" xfId="1" applyNumberFormat="1" applyFont="1" applyFill="1" applyBorder="1" applyAlignment="1">
      <alignment horizontal="left" indent="1"/>
    </xf>
    <xf numFmtId="0" fontId="4" fillId="0" borderId="2" xfId="1" applyNumberFormat="1" applyFont="1" applyBorder="1"/>
    <xf numFmtId="0" fontId="5" fillId="0" borderId="29" xfId="1" applyNumberFormat="1" applyFont="1" applyBorder="1"/>
    <xf numFmtId="0" fontId="5" fillId="0" borderId="3" xfId="1" applyFont="1" applyFill="1" applyBorder="1" applyAlignment="1">
      <alignment horizontal="center" vertical="center" wrapText="1"/>
    </xf>
    <xf numFmtId="170" fontId="5" fillId="0" borderId="20" xfId="1" applyNumberFormat="1" applyFont="1" applyBorder="1" applyAlignment="1">
      <alignment horizontal="center"/>
    </xf>
    <xf numFmtId="170" fontId="5" fillId="0" borderId="5" xfId="1" applyNumberFormat="1" applyFont="1" applyBorder="1" applyAlignment="1">
      <alignment horizontal="center"/>
    </xf>
    <xf numFmtId="170" fontId="5" fillId="0" borderId="11" xfId="1" applyNumberFormat="1" applyFont="1" applyBorder="1" applyAlignment="1">
      <alignment horizontal="center"/>
    </xf>
    <xf numFmtId="170" fontId="5" fillId="0" borderId="6" xfId="1" applyNumberFormat="1" applyFont="1" applyBorder="1" applyAlignment="1">
      <alignment horizontal="center"/>
    </xf>
    <xf numFmtId="170" fontId="5" fillId="0" borderId="19" xfId="1" applyNumberFormat="1" applyFont="1" applyBorder="1" applyAlignment="1">
      <alignment horizontal="center"/>
    </xf>
    <xf numFmtId="170" fontId="5" fillId="0" borderId="0" xfId="1" applyNumberFormat="1" applyFont="1" applyBorder="1" applyAlignment="1">
      <alignment horizontal="center"/>
    </xf>
    <xf numFmtId="170" fontId="5" fillId="0" borderId="2" xfId="1" applyNumberFormat="1" applyFont="1" applyBorder="1" applyAlignment="1">
      <alignment horizontal="center"/>
    </xf>
    <xf numFmtId="170" fontId="5" fillId="0" borderId="7" xfId="1" applyNumberFormat="1" applyFont="1" applyBorder="1" applyAlignment="1">
      <alignment horizontal="center"/>
    </xf>
    <xf numFmtId="0" fontId="4" fillId="0" borderId="2" xfId="1" applyFont="1" applyFill="1" applyBorder="1" applyAlignment="1">
      <alignment horizontal="left" indent="1"/>
    </xf>
    <xf numFmtId="170" fontId="5" fillId="0" borderId="7" xfId="1" applyNumberFormat="1" applyFont="1" applyFill="1" applyBorder="1"/>
    <xf numFmtId="0" fontId="4" fillId="0" borderId="19" xfId="1" applyNumberFormat="1" applyFont="1" applyFill="1" applyBorder="1" applyAlignment="1">
      <alignment horizontal="center"/>
    </xf>
    <xf numFmtId="0" fontId="4" fillId="0" borderId="0" xfId="1" applyFont="1" applyFill="1" applyBorder="1"/>
    <xf numFmtId="0" fontId="4" fillId="0" borderId="0" xfId="1" applyFont="1" applyFill="1"/>
    <xf numFmtId="0" fontId="5" fillId="0" borderId="8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70" fontId="5" fillId="0" borderId="19" xfId="1" applyNumberFormat="1" applyFont="1" applyFill="1" applyBorder="1"/>
    <xf numFmtId="170" fontId="5" fillId="0" borderId="2" xfId="1" applyNumberFormat="1" applyFont="1" applyFill="1" applyBorder="1"/>
    <xf numFmtId="170" fontId="5" fillId="0" borderId="0" xfId="1" applyNumberFormat="1" applyFont="1" applyFill="1" applyBorder="1"/>
    <xf numFmtId="0" fontId="5" fillId="0" borderId="2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/>
    </xf>
    <xf numFmtId="0" fontId="4" fillId="0" borderId="20" xfId="1" applyNumberFormat="1" applyFont="1" applyBorder="1" applyAlignment="1">
      <alignment horizontal="center"/>
    </xf>
    <xf numFmtId="0" fontId="5" fillId="0" borderId="55" xfId="1" applyFont="1" applyFill="1" applyBorder="1" applyAlignment="1">
      <alignment horizontal="center" vertical="center" wrapText="1"/>
    </xf>
    <xf numFmtId="0" fontId="8" fillId="0" borderId="2" xfId="1" applyNumberFormat="1" applyFont="1" applyBorder="1"/>
    <xf numFmtId="0" fontId="7" fillId="0" borderId="11" xfId="1" applyNumberFormat="1" applyFont="1" applyBorder="1"/>
    <xf numFmtId="49" fontId="5" fillId="0" borderId="22" xfId="1" applyNumberFormat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center" vertical="center" wrapText="1"/>
    </xf>
    <xf numFmtId="170" fontId="4" fillId="2" borderId="19" xfId="1" applyNumberFormat="1" applyFont="1" applyFill="1" applyBorder="1" applyProtection="1">
      <protection locked="0"/>
    </xf>
    <xf numFmtId="170" fontId="4" fillId="0" borderId="19" xfId="1" applyNumberFormat="1" applyFont="1" applyFill="1" applyBorder="1" applyProtection="1"/>
    <xf numFmtId="170" fontId="4" fillId="0" borderId="7" xfId="1" applyNumberFormat="1" applyFont="1" applyFill="1" applyBorder="1" applyProtection="1"/>
    <xf numFmtId="170" fontId="4" fillId="0" borderId="2" xfId="1" applyNumberFormat="1" applyFont="1" applyFill="1" applyBorder="1" applyProtection="1"/>
    <xf numFmtId="170" fontId="4" fillId="0" borderId="0" xfId="1" applyNumberFormat="1" applyFont="1" applyFill="1" applyBorder="1" applyProtection="1"/>
    <xf numFmtId="170" fontId="4" fillId="0" borderId="24" xfId="1" applyNumberFormat="1" applyFont="1" applyFill="1" applyBorder="1" applyProtection="1"/>
    <xf numFmtId="170" fontId="5" fillId="0" borderId="20" xfId="1" applyNumberFormat="1" applyFont="1" applyBorder="1" applyAlignment="1" applyProtection="1">
      <alignment horizontal="center"/>
    </xf>
    <xf numFmtId="170" fontId="4" fillId="0" borderId="23" xfId="1" applyNumberFormat="1" applyFont="1" applyFill="1" applyBorder="1" applyProtection="1"/>
    <xf numFmtId="170" fontId="4" fillId="0" borderId="28" xfId="1" applyNumberFormat="1" applyFont="1" applyFill="1" applyBorder="1" applyProtection="1"/>
    <xf numFmtId="170" fontId="4" fillId="0" borderId="51" xfId="1" applyNumberFormat="1" applyFont="1" applyFill="1" applyBorder="1" applyProtection="1"/>
    <xf numFmtId="170" fontId="4" fillId="0" borderId="49" xfId="1" applyNumberFormat="1" applyFont="1" applyFill="1" applyBorder="1" applyProtection="1"/>
    <xf numFmtId="170" fontId="5" fillId="0" borderId="12" xfId="1" applyNumberFormat="1" applyFont="1" applyBorder="1"/>
    <xf numFmtId="0" fontId="8" fillId="0" borderId="2" xfId="1" applyNumberFormat="1" applyFont="1" applyBorder="1" applyAlignment="1">
      <alignment horizontal="left" indent="2"/>
    </xf>
    <xf numFmtId="170" fontId="5" fillId="0" borderId="20" xfId="1" applyNumberFormat="1" applyFont="1" applyBorder="1"/>
    <xf numFmtId="170" fontId="5" fillId="0" borderId="22" xfId="1" applyNumberFormat="1" applyFont="1" applyBorder="1"/>
    <xf numFmtId="0" fontId="4" fillId="0" borderId="3" xfId="1" applyFont="1" applyBorder="1" applyAlignment="1">
      <alignment horizontal="left" indent="1"/>
    </xf>
    <xf numFmtId="170" fontId="4" fillId="0" borderId="0" xfId="1" applyNumberFormat="1" applyFont="1" applyFill="1" applyBorder="1" applyProtection="1">
      <protection locked="0"/>
    </xf>
    <xf numFmtId="170" fontId="4" fillId="0" borderId="52" xfId="1" applyNumberFormat="1" applyFont="1" applyFill="1" applyBorder="1" applyProtection="1"/>
    <xf numFmtId="170" fontId="4" fillId="0" borderId="66" xfId="1" applyNumberFormat="1" applyFont="1" applyFill="1" applyBorder="1" applyProtection="1"/>
    <xf numFmtId="170" fontId="4" fillId="0" borderId="41" xfId="1" applyNumberFormat="1" applyFont="1" applyFill="1" applyBorder="1" applyProtection="1"/>
    <xf numFmtId="170" fontId="4" fillId="0" borderId="61" xfId="1" applyNumberFormat="1" applyFont="1" applyFill="1" applyBorder="1" applyProtection="1"/>
    <xf numFmtId="0" fontId="4" fillId="0" borderId="0" xfId="1" applyFont="1" applyFill="1" applyAlignment="1"/>
    <xf numFmtId="0" fontId="4" fillId="0" borderId="0" xfId="1" applyFont="1" applyFill="1" applyAlignment="1">
      <alignment wrapText="1"/>
    </xf>
    <xf numFmtId="0" fontId="7" fillId="0" borderId="11" xfId="1" applyFont="1" applyBorder="1"/>
    <xf numFmtId="170" fontId="5" fillId="0" borderId="48" xfId="1" applyNumberFormat="1" applyFont="1" applyBorder="1"/>
    <xf numFmtId="170" fontId="4" fillId="3" borderId="19" xfId="1" applyNumberFormat="1" applyFont="1" applyFill="1" applyBorder="1" applyProtection="1">
      <protection locked="0"/>
    </xf>
    <xf numFmtId="170" fontId="4" fillId="3" borderId="41" xfId="1" applyNumberFormat="1" applyFont="1" applyFill="1" applyBorder="1" applyProtection="1">
      <protection locked="0"/>
    </xf>
    <xf numFmtId="170" fontId="4" fillId="3" borderId="24" xfId="1" applyNumberFormat="1" applyFont="1" applyFill="1" applyBorder="1" applyProtection="1">
      <protection locked="0"/>
    </xf>
    <xf numFmtId="170" fontId="4" fillId="3" borderId="49" xfId="1" applyNumberFormat="1" applyFont="1" applyFill="1" applyBorder="1" applyProtection="1">
      <protection locked="0"/>
    </xf>
    <xf numFmtId="170" fontId="4" fillId="3" borderId="61" xfId="1" applyNumberFormat="1" applyFont="1" applyFill="1" applyBorder="1" applyProtection="1">
      <protection locked="0"/>
    </xf>
    <xf numFmtId="170" fontId="4" fillId="3" borderId="23" xfId="1" applyNumberFormat="1" applyFont="1" applyFill="1" applyBorder="1" applyProtection="1">
      <protection locked="0"/>
    </xf>
    <xf numFmtId="170" fontId="5" fillId="3" borderId="23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170" fontId="5" fillId="3" borderId="45" xfId="1" applyNumberFormat="1" applyFont="1" applyFill="1" applyBorder="1" applyProtection="1">
      <protection locked="0"/>
    </xf>
    <xf numFmtId="170" fontId="4" fillId="3" borderId="45" xfId="1" applyNumberFormat="1" applyFont="1" applyFill="1" applyBorder="1" applyProtection="1">
      <protection locked="0"/>
    </xf>
    <xf numFmtId="170" fontId="4" fillId="3" borderId="46" xfId="1" applyNumberFormat="1" applyFont="1" applyFill="1" applyBorder="1" applyProtection="1">
      <protection locked="0"/>
    </xf>
    <xf numFmtId="170" fontId="4" fillId="3" borderId="42" xfId="1" applyNumberFormat="1" applyFont="1" applyFill="1" applyBorder="1" applyProtection="1">
      <protection locked="0"/>
    </xf>
    <xf numFmtId="170" fontId="4" fillId="3" borderId="47" xfId="1" applyNumberFormat="1" applyFont="1" applyFill="1" applyBorder="1" applyProtection="1">
      <protection locked="0"/>
    </xf>
    <xf numFmtId="170" fontId="4" fillId="3" borderId="13" xfId="1" applyNumberFormat="1" applyFont="1" applyFill="1" applyBorder="1" applyProtection="1">
      <protection locked="0"/>
    </xf>
    <xf numFmtId="170" fontId="4" fillId="3" borderId="39" xfId="1" applyNumberFormat="1" applyFont="1" applyFill="1" applyBorder="1" applyProtection="1">
      <protection locked="0"/>
    </xf>
    <xf numFmtId="170" fontId="4" fillId="3" borderId="26" xfId="1" applyNumberFormat="1" applyFont="1" applyFill="1" applyBorder="1" applyProtection="1">
      <protection locked="0"/>
    </xf>
    <xf numFmtId="0" fontId="4" fillId="3" borderId="2" xfId="1" applyNumberFormat="1" applyFont="1" applyFill="1" applyBorder="1" applyAlignment="1" applyProtection="1">
      <alignment horizontal="left" indent="1"/>
      <protection locked="0"/>
    </xf>
    <xf numFmtId="0" fontId="8" fillId="3" borderId="2" xfId="1" applyNumberFormat="1" applyFont="1" applyFill="1" applyBorder="1" applyAlignment="1" applyProtection="1">
      <alignment horizontal="left" indent="1"/>
      <protection locked="0"/>
    </xf>
    <xf numFmtId="170" fontId="4" fillId="3" borderId="27" xfId="1" applyNumberFormat="1" applyFont="1" applyFill="1" applyBorder="1" applyProtection="1">
      <protection locked="0"/>
    </xf>
    <xf numFmtId="170" fontId="4" fillId="3" borderId="25" xfId="1" applyNumberFormat="1" applyFont="1" applyFill="1" applyBorder="1" applyProtection="1">
      <protection locked="0"/>
    </xf>
    <xf numFmtId="170" fontId="5" fillId="3" borderId="26" xfId="1" applyNumberFormat="1" applyFont="1" applyFill="1" applyBorder="1" applyProtection="1">
      <protection locked="0"/>
    </xf>
    <xf numFmtId="170" fontId="5" fillId="3" borderId="27" xfId="1" applyNumberFormat="1" applyFont="1" applyFill="1" applyBorder="1" applyProtection="1">
      <protection locked="0"/>
    </xf>
    <xf numFmtId="170" fontId="5" fillId="3" borderId="25" xfId="1" applyNumberFormat="1" applyFont="1" applyFill="1" applyBorder="1" applyProtection="1">
      <protection locked="0"/>
    </xf>
    <xf numFmtId="170" fontId="5" fillId="3" borderId="46" xfId="1" applyNumberFormat="1" applyFont="1" applyFill="1" applyBorder="1" applyProtection="1">
      <protection locked="0"/>
    </xf>
    <xf numFmtId="170" fontId="5" fillId="3" borderId="42" xfId="1" applyNumberFormat="1" applyFont="1" applyFill="1" applyBorder="1" applyProtection="1">
      <protection locked="0"/>
    </xf>
    <xf numFmtId="170" fontId="5" fillId="3" borderId="47" xfId="1" applyNumberFormat="1" applyFont="1" applyFill="1" applyBorder="1" applyProtection="1">
      <protection locked="0"/>
    </xf>
    <xf numFmtId="170" fontId="4" fillId="3" borderId="50" xfId="1" applyNumberFormat="1" applyFont="1" applyFill="1" applyBorder="1" applyProtection="1">
      <protection locked="0"/>
    </xf>
    <xf numFmtId="0" fontId="6" fillId="0" borderId="3" xfId="1" applyNumberFormat="1" applyFont="1" applyBorder="1"/>
    <xf numFmtId="0" fontId="8" fillId="0" borderId="13" xfId="1" applyNumberFormat="1" applyFont="1" applyBorder="1" applyAlignment="1">
      <alignment horizontal="center"/>
    </xf>
    <xf numFmtId="167" fontId="8" fillId="0" borderId="13" xfId="3" applyNumberFormat="1" applyFont="1" applyFill="1" applyBorder="1" applyAlignment="1">
      <alignment horizontal="center"/>
    </xf>
    <xf numFmtId="167" fontId="8" fillId="0" borderId="9" xfId="3" applyNumberFormat="1" applyFont="1" applyFill="1" applyBorder="1" applyAlignment="1">
      <alignment horizontal="center"/>
    </xf>
    <xf numFmtId="167" fontId="8" fillId="0" borderId="3" xfId="3" applyNumberFormat="1" applyFont="1" applyFill="1" applyBorder="1" applyAlignment="1">
      <alignment horizontal="center"/>
    </xf>
    <xf numFmtId="167" fontId="8" fillId="0" borderId="8" xfId="3" applyNumberFormat="1" applyFont="1" applyFill="1" applyBorder="1" applyAlignment="1">
      <alignment horizontal="center"/>
    </xf>
    <xf numFmtId="167" fontId="8" fillId="0" borderId="39" xfId="3" applyNumberFormat="1" applyFont="1" applyFill="1" applyBorder="1" applyAlignment="1">
      <alignment horizontal="center"/>
    </xf>
    <xf numFmtId="0" fontId="4" fillId="0" borderId="48" xfId="1" applyFont="1" applyBorder="1" applyAlignment="1">
      <alignment horizontal="center"/>
    </xf>
    <xf numFmtId="0" fontId="4" fillId="0" borderId="49" xfId="1" applyFont="1" applyBorder="1" applyAlignment="1">
      <alignment horizontal="center"/>
    </xf>
    <xf numFmtId="0" fontId="4" fillId="0" borderId="50" xfId="1" applyFont="1" applyBorder="1" applyAlignment="1">
      <alignment horizontal="center"/>
    </xf>
    <xf numFmtId="0" fontId="5" fillId="0" borderId="12" xfId="1" applyNumberFormat="1" applyFont="1" applyBorder="1"/>
    <xf numFmtId="0" fontId="4" fillId="0" borderId="12" xfId="1" applyNumberFormat="1" applyFont="1" applyBorder="1" applyAlignment="1">
      <alignment horizontal="center"/>
    </xf>
    <xf numFmtId="0" fontId="6" fillId="0" borderId="11" xfId="1" applyNumberFormat="1" applyFont="1" applyBorder="1"/>
    <xf numFmtId="0" fontId="8" fillId="0" borderId="20" xfId="1" applyNumberFormat="1" applyFont="1" applyBorder="1" applyAlignment="1">
      <alignment horizontal="center"/>
    </xf>
    <xf numFmtId="167" fontId="8" fillId="0" borderId="20" xfId="3" applyNumberFormat="1" applyFont="1" applyFill="1" applyBorder="1" applyAlignment="1">
      <alignment horizontal="center"/>
    </xf>
    <xf numFmtId="167" fontId="8" fillId="0" borderId="6" xfId="3" applyNumberFormat="1" applyFont="1" applyFill="1" applyBorder="1" applyAlignment="1">
      <alignment horizontal="center"/>
    </xf>
    <xf numFmtId="167" fontId="8" fillId="0" borderId="11" xfId="3" applyNumberFormat="1" applyFont="1" applyFill="1" applyBorder="1" applyAlignment="1">
      <alignment horizontal="center"/>
    </xf>
    <xf numFmtId="167" fontId="8" fillId="0" borderId="5" xfId="3" applyNumberFormat="1" applyFont="1" applyFill="1" applyBorder="1" applyAlignment="1">
      <alignment horizontal="center"/>
    </xf>
    <xf numFmtId="167" fontId="8" fillId="0" borderId="22" xfId="3" applyNumberFormat="1" applyFont="1" applyFill="1" applyBorder="1" applyAlignment="1">
      <alignment horizontal="center"/>
    </xf>
    <xf numFmtId="0" fontId="1" fillId="0" borderId="0" xfId="1"/>
    <xf numFmtId="0" fontId="3" fillId="0" borderId="8" xfId="1" applyFont="1" applyFill="1" applyBorder="1" applyAlignment="1">
      <alignment horizontal="left"/>
    </xf>
    <xf numFmtId="0" fontId="4" fillId="0" borderId="0" xfId="1" applyFont="1"/>
    <xf numFmtId="0" fontId="5" fillId="0" borderId="3" xfId="1" applyFont="1" applyFill="1" applyBorder="1" applyAlignment="1">
      <alignment horizontal="left" vertical="center"/>
    </xf>
    <xf numFmtId="170" fontId="4" fillId="0" borderId="0" xfId="1" applyNumberFormat="1" applyFont="1" applyBorder="1"/>
    <xf numFmtId="170" fontId="4" fillId="0" borderId="19" xfId="1" applyNumberFormat="1" applyFont="1" applyBorder="1"/>
    <xf numFmtId="170" fontId="4" fillId="0" borderId="7" xfId="1" applyNumberFormat="1" applyFont="1" applyBorder="1"/>
    <xf numFmtId="170" fontId="4" fillId="0" borderId="2" xfId="1" applyNumberFormat="1" applyFont="1" applyBorder="1"/>
    <xf numFmtId="170" fontId="4" fillId="0" borderId="24" xfId="1" applyNumberFormat="1" applyFont="1" applyBorder="1"/>
    <xf numFmtId="170" fontId="5" fillId="0" borderId="30" xfId="1" applyNumberFormat="1" applyFont="1" applyBorder="1"/>
    <xf numFmtId="170" fontId="5" fillId="0" borderId="33" xfId="1" applyNumberFormat="1" applyFont="1" applyBorder="1"/>
    <xf numFmtId="168" fontId="5" fillId="0" borderId="0" xfId="1" applyNumberFormat="1" applyFont="1" applyBorder="1"/>
    <xf numFmtId="170" fontId="5" fillId="0" borderId="34" xfId="1" applyNumberFormat="1" applyFont="1" applyBorder="1"/>
    <xf numFmtId="170" fontId="5" fillId="0" borderId="35" xfId="1" applyNumberFormat="1" applyFont="1" applyBorder="1"/>
    <xf numFmtId="170" fontId="5" fillId="0" borderId="38" xfId="1" applyNumberFormat="1" applyFont="1" applyBorder="1"/>
    <xf numFmtId="0" fontId="5" fillId="0" borderId="3" xfId="1" applyFont="1" applyFill="1" applyBorder="1" applyAlignment="1">
      <alignment horizontal="center" vertical="center" wrapText="1"/>
    </xf>
    <xf numFmtId="170" fontId="5" fillId="0" borderId="20" xfId="1" applyNumberFormat="1" applyFont="1" applyBorder="1" applyAlignment="1">
      <alignment horizontal="center"/>
    </xf>
    <xf numFmtId="170" fontId="5" fillId="0" borderId="5" xfId="1" applyNumberFormat="1" applyFont="1" applyBorder="1" applyAlignment="1">
      <alignment horizontal="center"/>
    </xf>
    <xf numFmtId="170" fontId="5" fillId="0" borderId="11" xfId="1" applyNumberFormat="1" applyFont="1" applyBorder="1" applyAlignment="1">
      <alignment horizontal="center"/>
    </xf>
    <xf numFmtId="170" fontId="5" fillId="0" borderId="6" xfId="1" applyNumberFormat="1" applyFont="1" applyBorder="1" applyAlignment="1">
      <alignment horizontal="center"/>
    </xf>
    <xf numFmtId="170" fontId="5" fillId="0" borderId="19" xfId="1" applyNumberFormat="1" applyFont="1" applyBorder="1" applyAlignment="1">
      <alignment horizontal="center"/>
    </xf>
    <xf numFmtId="170" fontId="5" fillId="0" borderId="0" xfId="1" applyNumberFormat="1" applyFont="1" applyBorder="1" applyAlignment="1">
      <alignment horizontal="center"/>
    </xf>
    <xf numFmtId="170" fontId="5" fillId="0" borderId="2" xfId="1" applyNumberFormat="1" applyFont="1" applyBorder="1" applyAlignment="1">
      <alignment horizontal="center"/>
    </xf>
    <xf numFmtId="170" fontId="5" fillId="0" borderId="7" xfId="1" applyNumberFormat="1" applyFont="1" applyBorder="1" applyAlignment="1">
      <alignment horizontal="center"/>
    </xf>
    <xf numFmtId="170" fontId="5" fillId="0" borderId="22" xfId="1" applyNumberFormat="1" applyFont="1" applyBorder="1" applyAlignment="1">
      <alignment horizontal="center"/>
    </xf>
    <xf numFmtId="0" fontId="4" fillId="0" borderId="19" xfId="1" applyNumberFormat="1" applyFont="1" applyFill="1" applyBorder="1" applyAlignment="1">
      <alignment horizontal="center"/>
    </xf>
    <xf numFmtId="0" fontId="8" fillId="0" borderId="2" xfId="1" applyNumberFormat="1" applyFont="1" applyFill="1" applyBorder="1" applyAlignment="1">
      <alignment horizontal="left" inden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70" fontId="5" fillId="0" borderId="24" xfId="1" applyNumberFormat="1" applyFont="1" applyBorder="1" applyAlignment="1">
      <alignment horizontal="center"/>
    </xf>
    <xf numFmtId="0" fontId="5" fillId="0" borderId="20" xfId="1" applyFont="1" applyFill="1" applyBorder="1" applyAlignment="1">
      <alignment vertical="center"/>
    </xf>
    <xf numFmtId="168" fontId="5" fillId="0" borderId="2" xfId="1" applyNumberFormat="1" applyFont="1" applyBorder="1"/>
    <xf numFmtId="0" fontId="5" fillId="0" borderId="19" xfId="1" applyNumberFormat="1" applyFont="1" applyFill="1" applyBorder="1" applyAlignment="1">
      <alignment horizontal="center"/>
    </xf>
    <xf numFmtId="0" fontId="5" fillId="0" borderId="2" xfId="1" applyNumberFormat="1" applyFont="1" applyFill="1" applyBorder="1"/>
    <xf numFmtId="0" fontId="4" fillId="0" borderId="0" xfId="1" applyNumberFormat="1" applyFont="1" applyBorder="1"/>
    <xf numFmtId="0" fontId="5" fillId="0" borderId="37" xfId="1" applyNumberFormat="1" applyFont="1" applyBorder="1"/>
    <xf numFmtId="0" fontId="4" fillId="0" borderId="35" xfId="1" applyNumberFormat="1" applyFont="1" applyBorder="1" applyAlignment="1">
      <alignment horizontal="center"/>
    </xf>
    <xf numFmtId="170" fontId="5" fillId="0" borderId="56" xfId="1" applyNumberFormat="1" applyFont="1" applyBorder="1"/>
    <xf numFmtId="0" fontId="5" fillId="0" borderId="49" xfId="1" applyNumberFormat="1" applyFont="1" applyBorder="1" applyAlignment="1">
      <alignment horizontal="center"/>
    </xf>
    <xf numFmtId="0" fontId="5" fillId="0" borderId="30" xfId="1" applyFont="1" applyFill="1" applyBorder="1" applyAlignment="1">
      <alignment horizontal="center" vertical="center" wrapText="1"/>
    </xf>
    <xf numFmtId="0" fontId="5" fillId="0" borderId="54" xfId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/>
    <xf numFmtId="0" fontId="4" fillId="0" borderId="20" xfId="1" applyNumberFormat="1" applyFont="1" applyFill="1" applyBorder="1" applyAlignment="1">
      <alignment horizontal="center"/>
    </xf>
    <xf numFmtId="0" fontId="5" fillId="0" borderId="20" xfId="1" applyNumberFormat="1" applyFont="1" applyFill="1" applyBorder="1" applyAlignment="1">
      <alignment horizontal="center"/>
    </xf>
    <xf numFmtId="0" fontId="5" fillId="0" borderId="5" xfId="1" applyNumberFormat="1" applyFont="1" applyBorder="1" applyAlignment="1">
      <alignment horizontal="center"/>
    </xf>
    <xf numFmtId="0" fontId="5" fillId="0" borderId="48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/>
    </xf>
    <xf numFmtId="0" fontId="8" fillId="0" borderId="2" xfId="1" applyNumberFormat="1" applyFont="1" applyFill="1" applyBorder="1"/>
    <xf numFmtId="0" fontId="4" fillId="0" borderId="49" xfId="1" applyNumberFormat="1" applyFont="1" applyBorder="1"/>
    <xf numFmtId="49" fontId="5" fillId="0" borderId="22" xfId="1" applyNumberFormat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4" fillId="0" borderId="19" xfId="1" applyNumberFormat="1" applyFont="1" applyFill="1" applyBorder="1" applyAlignment="1" applyProtection="1">
      <alignment horizontal="center"/>
      <protection locked="0"/>
    </xf>
    <xf numFmtId="0" fontId="5" fillId="0" borderId="19" xfId="1" applyNumberFormat="1" applyFont="1" applyFill="1" applyBorder="1" applyAlignment="1" applyProtection="1">
      <alignment horizontal="center"/>
      <protection locked="0"/>
    </xf>
    <xf numFmtId="170" fontId="5" fillId="0" borderId="24" xfId="1" applyNumberFormat="1" applyFont="1" applyBorder="1" applyAlignment="1" applyProtection="1">
      <alignment horizontal="center"/>
      <protection locked="0"/>
    </xf>
    <xf numFmtId="170" fontId="5" fillId="0" borderId="19" xfId="1" applyNumberFormat="1" applyFont="1" applyBorder="1" applyAlignment="1" applyProtection="1">
      <alignment horizontal="center"/>
      <protection locked="0"/>
    </xf>
    <xf numFmtId="170" fontId="5" fillId="0" borderId="0" xfId="1" applyNumberFormat="1" applyFont="1" applyBorder="1" applyAlignment="1" applyProtection="1">
      <alignment horizontal="center"/>
      <protection locked="0"/>
    </xf>
    <xf numFmtId="170" fontId="5" fillId="0" borderId="2" xfId="1" applyNumberFormat="1" applyFont="1" applyBorder="1" applyAlignment="1" applyProtection="1">
      <alignment horizontal="center"/>
      <protection locked="0"/>
    </xf>
    <xf numFmtId="170" fontId="5" fillId="0" borderId="7" xfId="1" applyNumberFormat="1" applyFont="1" applyBorder="1" applyAlignment="1" applyProtection="1">
      <alignment horizontal="center"/>
      <protection locked="0"/>
    </xf>
    <xf numFmtId="0" fontId="5" fillId="0" borderId="0" xfId="1" applyNumberFormat="1" applyFont="1" applyBorder="1" applyAlignment="1" applyProtection="1">
      <alignment horizontal="center"/>
      <protection locked="0"/>
    </xf>
    <xf numFmtId="0" fontId="5" fillId="0" borderId="49" xfId="1" applyNumberFormat="1" applyFont="1" applyBorder="1" applyAlignment="1" applyProtection="1">
      <alignment horizontal="center"/>
      <protection locked="0"/>
    </xf>
    <xf numFmtId="0" fontId="8" fillId="0" borderId="2" xfId="1" applyNumberFormat="1" applyFont="1" applyFill="1" applyBorder="1" applyAlignment="1" applyProtection="1">
      <alignment horizontal="left" indent="1"/>
    </xf>
    <xf numFmtId="170" fontId="4" fillId="3" borderId="19" xfId="1" applyNumberFormat="1" applyFont="1" applyFill="1" applyBorder="1" applyProtection="1">
      <protection locked="0"/>
    </xf>
    <xf numFmtId="170" fontId="4" fillId="3" borderId="24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0" fontId="4" fillId="3" borderId="19" xfId="1" applyNumberFormat="1" applyFont="1" applyFill="1" applyBorder="1" applyAlignment="1" applyProtection="1">
      <alignment horizontal="center"/>
      <protection locked="0"/>
    </xf>
    <xf numFmtId="0" fontId="5" fillId="3" borderId="19" xfId="1" applyNumberFormat="1" applyFont="1" applyFill="1" applyBorder="1" applyAlignment="1" applyProtection="1">
      <alignment horizontal="center"/>
      <protection locked="0"/>
    </xf>
    <xf numFmtId="0" fontId="4" fillId="3" borderId="2" xfId="1" applyNumberFormat="1" applyFont="1" applyFill="1" applyBorder="1" applyAlignment="1" applyProtection="1">
      <alignment horizontal="left" indent="1"/>
      <protection locked="0"/>
    </xf>
    <xf numFmtId="0" fontId="5" fillId="3" borderId="2" xfId="1" applyNumberFormat="1" applyFont="1" applyFill="1" applyBorder="1" applyAlignment="1" applyProtection="1">
      <alignment horizontal="left"/>
      <protection locked="0"/>
    </xf>
    <xf numFmtId="0" fontId="4" fillId="3" borderId="0" xfId="1" applyNumberFormat="1" applyFont="1" applyFill="1" applyBorder="1" applyProtection="1">
      <protection locked="0"/>
    </xf>
    <xf numFmtId="0" fontId="4" fillId="3" borderId="49" xfId="1" applyNumberFormat="1" applyFont="1" applyFill="1" applyBorder="1" applyProtection="1">
      <protection locked="0"/>
    </xf>
    <xf numFmtId="0" fontId="4" fillId="3" borderId="19" xfId="1" applyNumberFormat="1" applyFont="1" applyFill="1" applyBorder="1" applyProtection="1">
      <protection locked="0"/>
    </xf>
    <xf numFmtId="0" fontId="4" fillId="3" borderId="2" xfId="1" applyNumberFormat="1" applyFont="1" applyFill="1" applyBorder="1" applyProtection="1">
      <protection locked="0"/>
    </xf>
    <xf numFmtId="0" fontId="5" fillId="3" borderId="2" xfId="1" applyNumberFormat="1" applyFont="1" applyFill="1" applyBorder="1" applyProtection="1">
      <protection locked="0"/>
    </xf>
    <xf numFmtId="168" fontId="5" fillId="0" borderId="35" xfId="1" applyNumberFormat="1" applyFont="1" applyBorder="1"/>
    <xf numFmtId="0" fontId="5" fillId="0" borderId="35" xfId="1" applyNumberFormat="1" applyFont="1" applyBorder="1"/>
    <xf numFmtId="168" fontId="5" fillId="0" borderId="38" xfId="1" applyNumberFormat="1" applyFont="1" applyBorder="1"/>
    <xf numFmtId="168" fontId="5" fillId="0" borderId="36" xfId="1" applyNumberFormat="1" applyFont="1" applyBorder="1"/>
    <xf numFmtId="168" fontId="5" fillId="0" borderId="67" xfId="1" applyNumberFormat="1" applyFont="1" applyBorder="1"/>
    <xf numFmtId="168" fontId="5" fillId="0" borderId="33" xfId="1" applyNumberFormat="1" applyFont="1" applyBorder="1"/>
    <xf numFmtId="170" fontId="5" fillId="0" borderId="54" xfId="1" applyNumberFormat="1" applyFont="1" applyBorder="1"/>
    <xf numFmtId="168" fontId="5" fillId="0" borderId="25" xfId="1" applyNumberFormat="1" applyFont="1" applyBorder="1"/>
    <xf numFmtId="168" fontId="5" fillId="0" borderId="27" xfId="1" applyNumberFormat="1" applyFont="1" applyBorder="1"/>
    <xf numFmtId="0" fontId="4" fillId="0" borderId="13" xfId="1" applyNumberFormat="1" applyFont="1" applyBorder="1" applyAlignment="1">
      <alignment horizontal="center" vertical="center"/>
    </xf>
    <xf numFmtId="0" fontId="4" fillId="3" borderId="19" xfId="1" applyNumberFormat="1" applyFont="1" applyFill="1" applyBorder="1" applyAlignment="1" applyProtection="1">
      <alignment horizontal="left"/>
      <protection locked="0"/>
    </xf>
    <xf numFmtId="172" fontId="4" fillId="3" borderId="24" xfId="2" applyNumberFormat="1" applyFont="1" applyFill="1" applyBorder="1" applyProtection="1">
      <protection locked="0"/>
    </xf>
    <xf numFmtId="172" fontId="4" fillId="3" borderId="24" xfId="2" applyNumberFormat="1" applyFont="1" applyFill="1" applyBorder="1" applyAlignment="1" applyProtection="1">
      <alignment horizontal="right"/>
      <protection locked="0"/>
    </xf>
    <xf numFmtId="0" fontId="4" fillId="3" borderId="0" xfId="1" applyNumberFormat="1" applyFont="1" applyFill="1" applyBorder="1" applyAlignment="1" applyProtection="1">
      <alignment wrapText="1"/>
      <protection locked="0"/>
    </xf>
    <xf numFmtId="0" fontId="1" fillId="0" borderId="0" xfId="1"/>
    <xf numFmtId="0" fontId="5" fillId="0" borderId="13" xfId="1" applyFont="1" applyFill="1" applyBorder="1" applyAlignment="1">
      <alignment horizontal="center" vertical="top" wrapText="1"/>
    </xf>
    <xf numFmtId="0" fontId="5" fillId="0" borderId="14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9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left" vertical="center"/>
    </xf>
    <xf numFmtId="170" fontId="4" fillId="0" borderId="19" xfId="1" applyNumberFormat="1" applyFont="1" applyFill="1" applyBorder="1"/>
    <xf numFmtId="170" fontId="4" fillId="0" borderId="2" xfId="1" applyNumberFormat="1" applyFont="1" applyFill="1" applyBorder="1"/>
    <xf numFmtId="170" fontId="4" fillId="0" borderId="7" xfId="1" applyNumberFormat="1" applyFont="1" applyFill="1" applyBorder="1"/>
    <xf numFmtId="0" fontId="5" fillId="0" borderId="2" xfId="1" applyNumberFormat="1" applyFont="1" applyBorder="1"/>
    <xf numFmtId="0" fontId="8" fillId="0" borderId="2" xfId="1" applyNumberFormat="1" applyFont="1" applyFill="1" applyBorder="1" applyAlignment="1">
      <alignment horizontal="left" indent="1"/>
    </xf>
    <xf numFmtId="170" fontId="4" fillId="0" borderId="41" xfId="1" applyNumberFormat="1" applyFont="1" applyFill="1" applyBorder="1"/>
    <xf numFmtId="0" fontId="4" fillId="0" borderId="0" xfId="2" applyNumberFormat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 vertical="center" wrapText="1"/>
    </xf>
    <xf numFmtId="171" fontId="4" fillId="0" borderId="19" xfId="2" applyNumberFormat="1" applyFont="1" applyFill="1" applyBorder="1" applyAlignment="1">
      <alignment horizontal="center"/>
    </xf>
    <xf numFmtId="170" fontId="5" fillId="0" borderId="20" xfId="1" applyNumberFormat="1" applyFont="1" applyFill="1" applyBorder="1" applyAlignment="1">
      <alignment horizontal="center"/>
    </xf>
    <xf numFmtId="0" fontId="5" fillId="0" borderId="11" xfId="1" applyNumberFormat="1" applyFont="1" applyFill="1" applyBorder="1"/>
    <xf numFmtId="171" fontId="5" fillId="0" borderId="20" xfId="2" applyNumberFormat="1" applyFont="1" applyFill="1" applyBorder="1" applyAlignment="1">
      <alignment horizontal="center"/>
    </xf>
    <xf numFmtId="0" fontId="8" fillId="0" borderId="20" xfId="1" applyNumberFormat="1" applyFont="1" applyFill="1" applyBorder="1" applyAlignment="1">
      <alignment horizontal="center"/>
    </xf>
    <xf numFmtId="0" fontId="8" fillId="0" borderId="5" xfId="1" applyNumberFormat="1" applyFont="1" applyFill="1" applyBorder="1" applyAlignment="1">
      <alignment horizontal="center"/>
    </xf>
    <xf numFmtId="171" fontId="5" fillId="0" borderId="19" xfId="2" applyNumberFormat="1" applyFont="1" applyFill="1" applyBorder="1" applyAlignment="1">
      <alignment horizontal="center"/>
    </xf>
    <xf numFmtId="0" fontId="8" fillId="0" borderId="19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>
      <alignment horizontal="center"/>
    </xf>
    <xf numFmtId="0" fontId="4" fillId="0" borderId="19" xfId="1" applyNumberFormat="1" applyFont="1" applyFill="1" applyBorder="1"/>
    <xf numFmtId="0" fontId="5" fillId="0" borderId="52" xfId="1" applyFont="1" applyFill="1" applyBorder="1" applyAlignment="1">
      <alignment horizontal="center" vertical="center" wrapText="1"/>
    </xf>
    <xf numFmtId="0" fontId="5" fillId="0" borderId="5" xfId="2" applyNumberFormat="1" applyFont="1" applyFill="1" applyBorder="1" applyAlignment="1">
      <alignment horizontal="center"/>
    </xf>
    <xf numFmtId="170" fontId="5" fillId="0" borderId="40" xfId="1" applyNumberFormat="1" applyFont="1" applyFill="1" applyBorder="1" applyAlignment="1">
      <alignment horizontal="center"/>
    </xf>
    <xf numFmtId="170" fontId="5" fillId="0" borderId="11" xfId="1" applyNumberFormat="1" applyFont="1" applyFill="1" applyBorder="1" applyAlignment="1">
      <alignment horizontal="center"/>
    </xf>
    <xf numFmtId="170" fontId="5" fillId="0" borderId="6" xfId="1" applyNumberFormat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center"/>
    </xf>
    <xf numFmtId="170" fontId="5" fillId="0" borderId="19" xfId="1" applyNumberFormat="1" applyFont="1" applyFill="1" applyBorder="1" applyAlignment="1">
      <alignment horizontal="center"/>
    </xf>
    <xf numFmtId="170" fontId="5" fillId="0" borderId="41" xfId="1" applyNumberFormat="1" applyFont="1" applyFill="1" applyBorder="1" applyAlignment="1">
      <alignment horizontal="center"/>
    </xf>
    <xf numFmtId="170" fontId="5" fillId="0" borderId="2" xfId="1" applyNumberFormat="1" applyFont="1" applyFill="1" applyBorder="1" applyAlignment="1">
      <alignment horizontal="center"/>
    </xf>
    <xf numFmtId="170" fontId="5" fillId="0" borderId="7" xfId="1" applyNumberFormat="1" applyFont="1" applyFill="1" applyBorder="1" applyAlignment="1">
      <alignment horizontal="center"/>
    </xf>
    <xf numFmtId="0" fontId="5" fillId="0" borderId="2" xfId="1" applyNumberFormat="1" applyFont="1" applyFill="1" applyBorder="1" applyAlignment="1">
      <alignment horizontal="left" indent="1"/>
    </xf>
    <xf numFmtId="170" fontId="4" fillId="3" borderId="19" xfId="1" applyNumberFormat="1" applyFont="1" applyFill="1" applyBorder="1" applyProtection="1">
      <protection locked="0"/>
    </xf>
    <xf numFmtId="170" fontId="4" fillId="3" borderId="41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45" xfId="1" applyNumberFormat="1" applyFont="1" applyFill="1" applyBorder="1" applyProtection="1">
      <protection locked="0"/>
    </xf>
    <xf numFmtId="170" fontId="4" fillId="3" borderId="46" xfId="1" applyNumberFormat="1" applyFont="1" applyFill="1" applyBorder="1" applyProtection="1">
      <protection locked="0"/>
    </xf>
    <xf numFmtId="170" fontId="4" fillId="3" borderId="42" xfId="1" applyNumberFormat="1" applyFont="1" applyFill="1" applyBorder="1" applyProtection="1">
      <protection locked="0"/>
    </xf>
    <xf numFmtId="170" fontId="4" fillId="3" borderId="13" xfId="1" applyNumberFormat="1" applyFont="1" applyFill="1" applyBorder="1" applyProtection="1">
      <protection locked="0"/>
    </xf>
    <xf numFmtId="170" fontId="4" fillId="3" borderId="9" xfId="1" applyNumberFormat="1" applyFont="1" applyFill="1" applyBorder="1" applyProtection="1">
      <protection locked="0"/>
    </xf>
    <xf numFmtId="170" fontId="4" fillId="3" borderId="3" xfId="1" applyNumberFormat="1" applyFont="1" applyFill="1" applyBorder="1" applyProtection="1">
      <protection locked="0"/>
    </xf>
    <xf numFmtId="0" fontId="4" fillId="3" borderId="0" xfId="2" applyNumberFormat="1" applyFont="1" applyFill="1" applyBorder="1" applyAlignment="1" applyProtection="1">
      <alignment horizontal="center"/>
      <protection locked="0"/>
    </xf>
    <xf numFmtId="0" fontId="4" fillId="3" borderId="2" xfId="1" applyNumberFormat="1" applyFont="1" applyFill="1" applyBorder="1" applyAlignment="1" applyProtection="1">
      <alignment horizontal="left" indent="1"/>
      <protection locked="0"/>
    </xf>
    <xf numFmtId="0" fontId="8" fillId="3" borderId="2" xfId="1" applyNumberFormat="1" applyFont="1" applyFill="1" applyBorder="1" applyAlignment="1" applyProtection="1">
      <alignment horizontal="left" indent="1"/>
      <protection locked="0"/>
    </xf>
    <xf numFmtId="0" fontId="5" fillId="3" borderId="2" xfId="1" applyNumberFormat="1" applyFont="1" applyFill="1" applyBorder="1" applyAlignment="1" applyProtection="1">
      <alignment horizontal="left" indent="1"/>
      <protection locked="0"/>
    </xf>
    <xf numFmtId="171" fontId="4" fillId="3" borderId="19" xfId="2" applyNumberFormat="1" applyFont="1" applyFill="1" applyBorder="1" applyAlignment="1" applyProtection="1">
      <alignment horizontal="center"/>
      <protection locked="0"/>
    </xf>
    <xf numFmtId="171" fontId="5" fillId="3" borderId="19" xfId="2" applyNumberFormat="1" applyFont="1" applyFill="1" applyBorder="1" applyAlignment="1" applyProtection="1">
      <alignment horizontal="center"/>
      <protection locked="0"/>
    </xf>
    <xf numFmtId="170" fontId="5" fillId="3" borderId="19" xfId="1" applyNumberFormat="1" applyFont="1" applyFill="1" applyBorder="1" applyAlignment="1" applyProtection="1">
      <alignment horizontal="center"/>
      <protection locked="0"/>
    </xf>
    <xf numFmtId="170" fontId="5" fillId="3" borderId="2" xfId="1" applyNumberFormat="1" applyFont="1" applyFill="1" applyBorder="1" applyAlignment="1" applyProtection="1">
      <alignment horizontal="center"/>
      <protection locked="0"/>
    </xf>
    <xf numFmtId="170" fontId="5" fillId="3" borderId="7" xfId="1" applyNumberFormat="1" applyFont="1" applyFill="1" applyBorder="1" applyAlignment="1" applyProtection="1">
      <alignment horizontal="center"/>
      <protection locked="0"/>
    </xf>
    <xf numFmtId="0" fontId="8" fillId="3" borderId="19" xfId="1" applyNumberFormat="1" applyFont="1" applyFill="1" applyBorder="1" applyAlignment="1" applyProtection="1">
      <alignment horizontal="center"/>
      <protection locked="0"/>
    </xf>
    <xf numFmtId="0" fontId="8" fillId="3" borderId="0" xfId="1" applyNumberFormat="1" applyFont="1" applyFill="1" applyBorder="1" applyAlignment="1" applyProtection="1">
      <alignment horizontal="center"/>
      <protection locked="0"/>
    </xf>
    <xf numFmtId="0" fontId="5" fillId="3" borderId="2" xfId="1" applyNumberFormat="1" applyFont="1" applyFill="1" applyBorder="1" applyProtection="1">
      <protection locked="0"/>
    </xf>
    <xf numFmtId="0" fontId="5" fillId="3" borderId="0" xfId="2" applyNumberFormat="1" applyFont="1" applyFill="1" applyBorder="1" applyAlignment="1" applyProtection="1">
      <alignment horizontal="center"/>
      <protection locked="0"/>
    </xf>
    <xf numFmtId="170" fontId="5" fillId="3" borderId="41" xfId="1" applyNumberFormat="1" applyFont="1" applyFill="1" applyBorder="1" applyAlignment="1" applyProtection="1">
      <alignment horizontal="center"/>
      <protection locked="0"/>
    </xf>
    <xf numFmtId="170" fontId="4" fillId="3" borderId="41" xfId="2" applyNumberFormat="1" applyFont="1" applyFill="1" applyBorder="1" applyProtection="1">
      <protection locked="0"/>
    </xf>
    <xf numFmtId="0" fontId="5" fillId="3" borderId="42" xfId="1" applyNumberFormat="1" applyFont="1" applyFill="1" applyBorder="1" applyAlignment="1" applyProtection="1">
      <alignment horizontal="left" indent="1"/>
      <protection locked="0"/>
    </xf>
    <xf numFmtId="171" fontId="4" fillId="3" borderId="45" xfId="2" applyNumberFormat="1" applyFont="1" applyFill="1" applyBorder="1" applyAlignment="1" applyProtection="1">
      <alignment horizontal="center"/>
      <protection locked="0"/>
    </xf>
    <xf numFmtId="0" fontId="4" fillId="3" borderId="47" xfId="2" applyNumberFormat="1" applyFont="1" applyFill="1" applyBorder="1" applyAlignment="1" applyProtection="1">
      <alignment horizontal="center"/>
      <protection locked="0"/>
    </xf>
    <xf numFmtId="170" fontId="4" fillId="3" borderId="43" xfId="1" applyNumberFormat="1" applyFont="1" applyFill="1" applyBorder="1" applyProtection="1">
      <protection locked="0"/>
    </xf>
    <xf numFmtId="0" fontId="6" fillId="3" borderId="2" xfId="1" applyNumberFormat="1" applyFont="1" applyFill="1" applyBorder="1" applyProtection="1">
      <protection locked="0"/>
    </xf>
    <xf numFmtId="0" fontId="4" fillId="3" borderId="3" xfId="1" applyNumberFormat="1" applyFont="1" applyFill="1" applyBorder="1" applyAlignment="1" applyProtection="1">
      <alignment horizontal="left" indent="1"/>
      <protection locked="0"/>
    </xf>
    <xf numFmtId="171" fontId="4" fillId="3" borderId="13" xfId="2" applyNumberFormat="1" applyFont="1" applyFill="1" applyBorder="1" applyAlignment="1" applyProtection="1">
      <alignment horizontal="center"/>
      <protection locked="0"/>
    </xf>
    <xf numFmtId="0" fontId="4" fillId="3" borderId="8" xfId="2" applyNumberFormat="1" applyFont="1" applyFill="1" applyBorder="1" applyAlignment="1" applyProtection="1">
      <alignment horizontal="center"/>
      <protection locked="0"/>
    </xf>
    <xf numFmtId="170" fontId="4" fillId="3" borderId="14" xfId="1" applyNumberFormat="1" applyFont="1" applyFill="1" applyBorder="1" applyProtection="1">
      <protection locked="0"/>
    </xf>
    <xf numFmtId="0" fontId="8" fillId="3" borderId="45" xfId="1" applyNumberFormat="1" applyFont="1" applyFill="1" applyBorder="1" applyAlignment="1" applyProtection="1">
      <alignment horizontal="center"/>
      <protection locked="0"/>
    </xf>
    <xf numFmtId="0" fontId="8" fillId="3" borderId="13" xfId="1" applyNumberFormat="1" applyFont="1" applyFill="1" applyBorder="1" applyAlignment="1" applyProtection="1">
      <alignment horizontal="center"/>
      <protection locked="0"/>
    </xf>
    <xf numFmtId="0" fontId="5" fillId="0" borderId="65" xfId="1" applyNumberFormat="1" applyFont="1" applyFill="1" applyBorder="1" applyAlignment="1">
      <alignment horizontal="center"/>
    </xf>
    <xf numFmtId="0" fontId="5" fillId="0" borderId="61" xfId="1" applyNumberFormat="1" applyFont="1" applyFill="1" applyBorder="1" applyAlignment="1">
      <alignment horizontal="center"/>
    </xf>
    <xf numFmtId="0" fontId="5" fillId="3" borderId="61" xfId="1" applyNumberFormat="1" applyFont="1" applyFill="1" applyBorder="1" applyAlignment="1" applyProtection="1">
      <alignment horizontal="center"/>
      <protection locked="0"/>
    </xf>
    <xf numFmtId="0" fontId="4" fillId="3" borderId="61" xfId="1" applyNumberFormat="1" applyFont="1" applyFill="1" applyBorder="1" applyProtection="1">
      <protection locked="0"/>
    </xf>
    <xf numFmtId="0" fontId="4" fillId="3" borderId="68" xfId="1" applyNumberFormat="1" applyFont="1" applyFill="1" applyBorder="1" applyProtection="1">
      <protection locked="0"/>
    </xf>
    <xf numFmtId="0" fontId="4" fillId="0" borderId="61" xfId="1" applyNumberFormat="1" applyFont="1" applyFill="1" applyBorder="1"/>
    <xf numFmtId="0" fontId="4" fillId="3" borderId="59" xfId="1" applyNumberFormat="1" applyFont="1" applyFill="1" applyBorder="1" applyProtection="1">
      <protection locked="0"/>
    </xf>
    <xf numFmtId="0" fontId="3" fillId="0" borderId="13" xfId="1" applyFont="1" applyFill="1" applyBorder="1" applyAlignment="1">
      <alignment horizontal="left"/>
    </xf>
    <xf numFmtId="49" fontId="5" fillId="0" borderId="20" xfId="1" applyNumberFormat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left" vertical="center"/>
    </xf>
    <xf numFmtId="0" fontId="5" fillId="0" borderId="20" xfId="1" applyNumberFormat="1" applyFont="1" applyFill="1" applyBorder="1"/>
    <xf numFmtId="0" fontId="8" fillId="0" borderId="19" xfId="1" applyNumberFormat="1" applyFont="1" applyFill="1" applyBorder="1" applyAlignment="1">
      <alignment horizontal="left" indent="1"/>
    </xf>
    <xf numFmtId="0" fontId="5" fillId="3" borderId="19" xfId="1" applyNumberFormat="1" applyFont="1" applyFill="1" applyBorder="1" applyProtection="1">
      <protection locked="0"/>
    </xf>
    <xf numFmtId="0" fontId="4" fillId="3" borderId="19" xfId="1" applyNumberFormat="1" applyFont="1" applyFill="1" applyBorder="1" applyAlignment="1" applyProtection="1">
      <alignment horizontal="left" indent="1"/>
      <protection locked="0"/>
    </xf>
    <xf numFmtId="0" fontId="5" fillId="3" borderId="45" xfId="1" applyNumberFormat="1" applyFont="1" applyFill="1" applyBorder="1" applyAlignment="1" applyProtection="1">
      <alignment horizontal="left" indent="1"/>
      <protection locked="0"/>
    </xf>
    <xf numFmtId="0" fontId="5" fillId="0" borderId="19" xfId="1" applyNumberFormat="1" applyFont="1" applyBorder="1"/>
    <xf numFmtId="0" fontId="5" fillId="0" borderId="19" xfId="1" applyNumberFormat="1" applyFont="1" applyFill="1" applyBorder="1" applyAlignment="1">
      <alignment horizontal="left" indent="1"/>
    </xf>
    <xf numFmtId="0" fontId="6" fillId="3" borderId="19" xfId="1" applyNumberFormat="1" applyFont="1" applyFill="1" applyBorder="1" applyProtection="1">
      <protection locked="0"/>
    </xf>
    <xf numFmtId="0" fontId="8" fillId="3" borderId="19" xfId="1" applyNumberFormat="1" applyFont="1" applyFill="1" applyBorder="1" applyAlignment="1" applyProtection="1">
      <alignment horizontal="left" indent="1"/>
      <protection locked="0"/>
    </xf>
    <xf numFmtId="0" fontId="5" fillId="3" borderId="19" xfId="1" applyNumberFormat="1" applyFont="1" applyFill="1" applyBorder="1" applyAlignment="1" applyProtection="1">
      <alignment horizontal="left" indent="1"/>
      <protection locked="0"/>
    </xf>
    <xf numFmtId="0" fontId="4" fillId="3" borderId="13" xfId="1" applyNumberFormat="1" applyFont="1" applyFill="1" applyBorder="1" applyAlignment="1" applyProtection="1">
      <alignment horizontal="left" indent="1"/>
      <protection locked="0"/>
    </xf>
    <xf numFmtId="49" fontId="4" fillId="0" borderId="19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/>
    <xf numFmtId="0" fontId="8" fillId="3" borderId="47" xfId="1" applyNumberFormat="1" applyFont="1" applyFill="1" applyBorder="1" applyAlignment="1" applyProtection="1">
      <alignment horizontal="center"/>
      <protection locked="0"/>
    </xf>
    <xf numFmtId="0" fontId="8" fillId="3" borderId="8" xfId="1" applyNumberFormat="1" applyFont="1" applyFill="1" applyBorder="1" applyAlignment="1" applyProtection="1">
      <alignment horizontal="center"/>
      <protection locked="0"/>
    </xf>
    <xf numFmtId="0" fontId="8" fillId="0" borderId="48" xfId="1" applyNumberFormat="1" applyFont="1" applyFill="1" applyBorder="1" applyAlignment="1">
      <alignment horizontal="center"/>
    </xf>
    <xf numFmtId="0" fontId="8" fillId="0" borderId="49" xfId="1" applyNumberFormat="1" applyFont="1" applyFill="1" applyBorder="1" applyAlignment="1">
      <alignment horizontal="center"/>
    </xf>
    <xf numFmtId="0" fontId="8" fillId="3" borderId="49" xfId="1" applyNumberFormat="1" applyFont="1" applyFill="1" applyBorder="1" applyAlignment="1" applyProtection="1">
      <alignment horizontal="center"/>
      <protection locked="0"/>
    </xf>
    <xf numFmtId="0" fontId="5" fillId="0" borderId="63" xfId="1" applyFont="1" applyFill="1" applyBorder="1" applyAlignment="1">
      <alignment horizontal="center" vertical="top" wrapText="1"/>
    </xf>
    <xf numFmtId="0" fontId="8" fillId="3" borderId="60" xfId="1" applyNumberFormat="1" applyFont="1" applyFill="1" applyBorder="1" applyAlignment="1" applyProtection="1">
      <alignment horizontal="center"/>
      <protection locked="0"/>
    </xf>
    <xf numFmtId="0" fontId="4" fillId="0" borderId="49" xfId="1" applyNumberFormat="1" applyFont="1" applyFill="1" applyBorder="1"/>
    <xf numFmtId="0" fontId="8" fillId="3" borderId="50" xfId="1" applyNumberFormat="1" applyFont="1" applyFill="1" applyBorder="1" applyAlignment="1" applyProtection="1">
      <alignment horizontal="center"/>
      <protection locked="0"/>
    </xf>
    <xf numFmtId="0" fontId="12" fillId="3" borderId="49" xfId="1" applyNumberFormat="1" applyFont="1" applyFill="1" applyBorder="1" applyAlignment="1" applyProtection="1">
      <alignment horizontal="center"/>
      <protection locked="0"/>
    </xf>
    <xf numFmtId="0" fontId="5" fillId="0" borderId="15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/>
    </xf>
    <xf numFmtId="0" fontId="5" fillId="0" borderId="18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/>
    </xf>
    <xf numFmtId="0" fontId="4" fillId="0" borderId="19" xfId="1" applyNumberFormat="1" applyFont="1" applyBorder="1" applyAlignment="1">
      <alignment horizontal="center"/>
    </xf>
    <xf numFmtId="170" fontId="4" fillId="0" borderId="0" xfId="1" applyNumberFormat="1" applyFont="1" applyBorder="1"/>
    <xf numFmtId="170" fontId="4" fillId="0" borderId="19" xfId="1" applyNumberFormat="1" applyFont="1" applyBorder="1"/>
    <xf numFmtId="170" fontId="4" fillId="0" borderId="7" xfId="1" applyNumberFormat="1" applyFont="1" applyBorder="1"/>
    <xf numFmtId="170" fontId="4" fillId="0" borderId="2" xfId="1" applyNumberFormat="1" applyFont="1" applyBorder="1"/>
    <xf numFmtId="170" fontId="5" fillId="0" borderId="25" xfId="1" applyNumberFormat="1" applyFont="1" applyBorder="1"/>
    <xf numFmtId="170" fontId="5" fillId="0" borderId="23" xfId="1" applyNumberFormat="1" applyFont="1" applyBorder="1"/>
    <xf numFmtId="170" fontId="5" fillId="0" borderId="26" xfId="1" applyNumberFormat="1" applyFont="1" applyBorder="1"/>
    <xf numFmtId="170" fontId="5" fillId="0" borderId="27" xfId="1" applyNumberFormat="1" applyFont="1" applyBorder="1"/>
    <xf numFmtId="170" fontId="5" fillId="0" borderId="0" xfId="1" applyNumberFormat="1" applyFont="1" applyBorder="1"/>
    <xf numFmtId="170" fontId="5" fillId="0" borderId="19" xfId="1" applyNumberFormat="1" applyFont="1" applyBorder="1"/>
    <xf numFmtId="170" fontId="5" fillId="0" borderId="7" xfId="1" applyNumberFormat="1" applyFont="1" applyBorder="1"/>
    <xf numFmtId="170" fontId="5" fillId="0" borderId="2" xfId="1" applyNumberFormat="1" applyFont="1" applyBorder="1"/>
    <xf numFmtId="0" fontId="4" fillId="0" borderId="30" xfId="1" applyNumberFormat="1" applyFont="1" applyBorder="1" applyAlignment="1">
      <alignment horizontal="center"/>
    </xf>
    <xf numFmtId="170" fontId="5" fillId="0" borderId="32" xfId="1" applyNumberFormat="1" applyFont="1" applyBorder="1"/>
    <xf numFmtId="170" fontId="5" fillId="0" borderId="29" xfId="1" applyNumberFormat="1" applyFont="1" applyBorder="1"/>
    <xf numFmtId="170" fontId="5" fillId="0" borderId="30" xfId="1" applyNumberFormat="1" applyFont="1" applyBorder="1"/>
    <xf numFmtId="170" fontId="5" fillId="0" borderId="31" xfId="1" applyNumberFormat="1" applyFont="1" applyBorder="1"/>
    <xf numFmtId="0" fontId="7" fillId="0" borderId="2" xfId="1" applyNumberFormat="1" applyFont="1" applyBorder="1"/>
    <xf numFmtId="0" fontId="5" fillId="0" borderId="2" xfId="1" applyNumberFormat="1" applyFont="1" applyBorder="1"/>
    <xf numFmtId="0" fontId="4" fillId="0" borderId="2" xfId="1" applyNumberFormat="1" applyFont="1" applyBorder="1"/>
    <xf numFmtId="0" fontId="5" fillId="0" borderId="29" xfId="1" applyNumberFormat="1" applyFont="1" applyBorder="1"/>
    <xf numFmtId="0" fontId="5" fillId="0" borderId="3" xfId="1" applyFont="1" applyFill="1" applyBorder="1" applyAlignment="1">
      <alignment horizontal="center" vertical="center" wrapText="1"/>
    </xf>
    <xf numFmtId="170" fontId="5" fillId="0" borderId="20" xfId="1" applyNumberFormat="1" applyFont="1" applyBorder="1" applyAlignment="1">
      <alignment horizontal="center"/>
    </xf>
    <xf numFmtId="170" fontId="5" fillId="0" borderId="5" xfId="1" applyNumberFormat="1" applyFont="1" applyBorder="1" applyAlignment="1">
      <alignment horizontal="center"/>
    </xf>
    <xf numFmtId="170" fontId="5" fillId="0" borderId="11" xfId="1" applyNumberFormat="1" applyFont="1" applyBorder="1" applyAlignment="1">
      <alignment horizontal="center"/>
    </xf>
    <xf numFmtId="170" fontId="5" fillId="0" borderId="6" xfId="1" applyNumberFormat="1" applyFont="1" applyBorder="1" applyAlignment="1">
      <alignment horizontal="center"/>
    </xf>
    <xf numFmtId="170" fontId="5" fillId="0" borderId="19" xfId="1" applyNumberFormat="1" applyFont="1" applyBorder="1" applyAlignment="1">
      <alignment horizontal="center"/>
    </xf>
    <xf numFmtId="170" fontId="5" fillId="0" borderId="0" xfId="1" applyNumberFormat="1" applyFont="1" applyBorder="1" applyAlignment="1">
      <alignment horizontal="center"/>
    </xf>
    <xf numFmtId="170" fontId="5" fillId="0" borderId="2" xfId="1" applyNumberFormat="1" applyFont="1" applyBorder="1" applyAlignment="1">
      <alignment horizontal="center"/>
    </xf>
    <xf numFmtId="170" fontId="5" fillId="0" borderId="7" xfId="1" applyNumberFormat="1" applyFont="1" applyBorder="1" applyAlignment="1">
      <alignment horizontal="center"/>
    </xf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170" fontId="4" fillId="0" borderId="23" xfId="1" applyNumberFormat="1" applyFont="1" applyBorder="1"/>
    <xf numFmtId="170" fontId="4" fillId="0" borderId="26" xfId="1" applyNumberFormat="1" applyFont="1" applyBorder="1"/>
    <xf numFmtId="170" fontId="4" fillId="0" borderId="27" xfId="1" applyNumberFormat="1" applyFont="1" applyBorder="1"/>
    <xf numFmtId="170" fontId="4" fillId="0" borderId="25" xfId="1" applyNumberFormat="1" applyFont="1" applyBorder="1"/>
    <xf numFmtId="0" fontId="5" fillId="0" borderId="20" xfId="1" applyFont="1" applyFill="1" applyBorder="1" applyAlignment="1">
      <alignment vertical="center"/>
    </xf>
    <xf numFmtId="170" fontId="5" fillId="0" borderId="10" xfId="1" applyNumberFormat="1" applyFont="1" applyBorder="1" applyAlignment="1">
      <alignment horizontal="center"/>
    </xf>
    <xf numFmtId="170" fontId="4" fillId="0" borderId="1" xfId="1" applyNumberFormat="1" applyFont="1" applyBorder="1"/>
    <xf numFmtId="0" fontId="5" fillId="0" borderId="53" xfId="1" applyFont="1" applyFill="1" applyBorder="1" applyAlignment="1">
      <alignment horizontal="center" vertical="center" wrapText="1"/>
    </xf>
    <xf numFmtId="0" fontId="4" fillId="0" borderId="13" xfId="1" applyNumberFormat="1" applyFont="1" applyFill="1" applyBorder="1" applyAlignment="1">
      <alignment horizontal="center" vertical="center"/>
    </xf>
    <xf numFmtId="170" fontId="5" fillId="0" borderId="1" xfId="1" applyNumberFormat="1" applyFont="1" applyBorder="1" applyAlignment="1">
      <alignment horizontal="center"/>
    </xf>
    <xf numFmtId="170" fontId="4" fillId="0" borderId="21" xfId="1" applyNumberFormat="1" applyFont="1" applyBorder="1"/>
    <xf numFmtId="170" fontId="4" fillId="0" borderId="58" xfId="1" applyNumberFormat="1" applyFont="1" applyBorder="1"/>
    <xf numFmtId="49" fontId="5" fillId="0" borderId="22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70" fontId="4" fillId="0" borderId="1" xfId="1" applyNumberFormat="1" applyFont="1" applyFill="1" applyBorder="1"/>
    <xf numFmtId="170" fontId="4" fillId="3" borderId="19" xfId="1" applyNumberFormat="1" applyFont="1" applyFill="1" applyBorder="1" applyProtection="1">
      <protection locked="0"/>
    </xf>
    <xf numFmtId="170" fontId="4" fillId="3" borderId="7" xfId="1" applyNumberFormat="1" applyFont="1" applyFill="1" applyBorder="1" applyProtection="1">
      <protection locked="0"/>
    </xf>
    <xf numFmtId="170" fontId="4" fillId="3" borderId="2" xfId="1" applyNumberFormat="1" applyFont="1" applyFill="1" applyBorder="1" applyProtection="1">
      <protection locked="0"/>
    </xf>
    <xf numFmtId="170" fontId="4" fillId="3" borderId="0" xfId="1" applyNumberFormat="1" applyFont="1" applyFill="1" applyBorder="1" applyProtection="1">
      <protection locked="0"/>
    </xf>
    <xf numFmtId="170" fontId="5" fillId="3" borderId="19" xfId="1" applyNumberFormat="1" applyFont="1" applyFill="1" applyBorder="1" applyProtection="1">
      <protection locked="0"/>
    </xf>
    <xf numFmtId="170" fontId="5" fillId="3" borderId="7" xfId="1" applyNumberFormat="1" applyFont="1" applyFill="1" applyBorder="1" applyProtection="1">
      <protection locked="0"/>
    </xf>
    <xf numFmtId="170" fontId="5" fillId="3" borderId="2" xfId="1" applyNumberFormat="1" applyFont="1" applyFill="1" applyBorder="1" applyProtection="1">
      <protection locked="0"/>
    </xf>
    <xf numFmtId="170" fontId="5" fillId="3" borderId="0" xfId="1" applyNumberFormat="1" applyFont="1" applyFill="1" applyBorder="1" applyProtection="1">
      <protection locked="0"/>
    </xf>
    <xf numFmtId="0" fontId="8" fillId="3" borderId="2" xfId="1" applyNumberFormat="1" applyFont="1" applyFill="1" applyBorder="1" applyAlignment="1" applyProtection="1">
      <alignment horizontal="left" indent="1"/>
      <protection locked="0"/>
    </xf>
    <xf numFmtId="170" fontId="5" fillId="3" borderId="19" xfId="1" applyNumberFormat="1" applyFont="1" applyFill="1" applyBorder="1" applyAlignment="1" applyProtection="1">
      <alignment horizontal="center"/>
      <protection locked="0"/>
    </xf>
    <xf numFmtId="170" fontId="5" fillId="3" borderId="0" xfId="1" applyNumberFormat="1" applyFont="1" applyFill="1" applyBorder="1" applyAlignment="1" applyProtection="1">
      <alignment horizontal="center"/>
      <protection locked="0"/>
    </xf>
    <xf numFmtId="170" fontId="5" fillId="3" borderId="2" xfId="1" applyNumberFormat="1" applyFont="1" applyFill="1" applyBorder="1" applyAlignment="1" applyProtection="1">
      <alignment horizontal="center"/>
      <protection locked="0"/>
    </xf>
    <xf numFmtId="170" fontId="5" fillId="3" borderId="7" xfId="1" applyNumberFormat="1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>
      <alignment horizontal="centerContinuous"/>
    </xf>
    <xf numFmtId="0" fontId="4" fillId="0" borderId="0" xfId="0" applyFont="1"/>
    <xf numFmtId="0" fontId="5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NumberFormat="1" applyFont="1" applyBorder="1"/>
    <xf numFmtId="169" fontId="4" fillId="0" borderId="2" xfId="0" applyNumberFormat="1" applyFont="1" applyBorder="1"/>
    <xf numFmtId="169" fontId="4" fillId="0" borderId="19" xfId="0" applyNumberFormat="1" applyFont="1" applyBorder="1"/>
    <xf numFmtId="169" fontId="4" fillId="0" borderId="7" xfId="0" applyNumberFormat="1" applyFont="1" applyBorder="1"/>
    <xf numFmtId="169" fontId="4" fillId="0" borderId="0" xfId="0" applyNumberFormat="1" applyFont="1" applyBorder="1"/>
    <xf numFmtId="0" fontId="4" fillId="0" borderId="1" xfId="0" applyNumberFormat="1" applyFont="1" applyBorder="1" applyAlignment="1">
      <alignment horizontal="left" indent="1"/>
    </xf>
    <xf numFmtId="170" fontId="5" fillId="0" borderId="19" xfId="0" applyNumberFormat="1" applyFont="1" applyFill="1" applyBorder="1" applyProtection="1"/>
    <xf numFmtId="170" fontId="4" fillId="0" borderId="19" xfId="0" applyNumberFormat="1" applyFont="1" applyFill="1" applyBorder="1"/>
    <xf numFmtId="170" fontId="4" fillId="0" borderId="41" xfId="0" applyNumberFormat="1" applyFont="1" applyFill="1" applyBorder="1"/>
    <xf numFmtId="170" fontId="4" fillId="0" borderId="24" xfId="0" applyNumberFormat="1" applyFont="1" applyFill="1" applyBorder="1"/>
    <xf numFmtId="170" fontId="4" fillId="0" borderId="49" xfId="0" applyNumberFormat="1" applyFont="1" applyFill="1" applyBorder="1"/>
    <xf numFmtId="170" fontId="4" fillId="0" borderId="0" xfId="0" applyNumberFormat="1" applyFont="1" applyFill="1" applyBorder="1"/>
    <xf numFmtId="0" fontId="4" fillId="0" borderId="0" xfId="0" applyFont="1" applyFill="1"/>
    <xf numFmtId="0" fontId="5" fillId="0" borderId="2" xfId="0" applyNumberFormat="1" applyFont="1" applyBorder="1" applyAlignment="1">
      <alignment horizontal="left" wrapText="1"/>
    </xf>
    <xf numFmtId="170" fontId="4" fillId="0" borderId="35" xfId="0" applyNumberFormat="1" applyFont="1" applyFill="1" applyBorder="1" applyAlignment="1">
      <alignment vertical="top"/>
    </xf>
    <xf numFmtId="170" fontId="4" fillId="0" borderId="64" xfId="0" applyNumberFormat="1" applyFont="1" applyFill="1" applyBorder="1" applyAlignment="1">
      <alignment vertical="top"/>
    </xf>
    <xf numFmtId="170" fontId="4" fillId="0" borderId="38" xfId="0" applyNumberFormat="1" applyFont="1" applyFill="1" applyBorder="1" applyAlignment="1">
      <alignment vertical="top"/>
    </xf>
    <xf numFmtId="170" fontId="4" fillId="0" borderId="56" xfId="0" applyNumberFormat="1" applyFont="1" applyFill="1" applyBorder="1" applyAlignment="1">
      <alignment vertical="top"/>
    </xf>
    <xf numFmtId="170" fontId="4" fillId="0" borderId="34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left" indent="1"/>
    </xf>
    <xf numFmtId="0" fontId="5" fillId="0" borderId="1" xfId="0" applyNumberFormat="1" applyFont="1" applyBorder="1"/>
    <xf numFmtId="170" fontId="4" fillId="0" borderId="38" xfId="0" applyNumberFormat="1" applyFont="1" applyFill="1" applyBorder="1"/>
    <xf numFmtId="170" fontId="4" fillId="0" borderId="35" xfId="0" applyNumberFormat="1" applyFont="1" applyFill="1" applyBorder="1"/>
    <xf numFmtId="170" fontId="4" fillId="0" borderId="64" xfId="0" applyNumberFormat="1" applyFont="1" applyFill="1" applyBorder="1"/>
    <xf numFmtId="170" fontId="4" fillId="0" borderId="56" xfId="0" applyNumberFormat="1" applyFont="1" applyFill="1" applyBorder="1"/>
    <xf numFmtId="170" fontId="4" fillId="0" borderId="34" xfId="0" applyNumberFormat="1" applyFont="1" applyFill="1" applyBorder="1"/>
    <xf numFmtId="170" fontId="4" fillId="0" borderId="28" xfId="0" applyNumberFormat="1" applyFont="1" applyFill="1" applyBorder="1"/>
    <xf numFmtId="170" fontId="4" fillId="0" borderId="23" xfId="0" applyNumberFormat="1" applyFont="1" applyFill="1" applyBorder="1"/>
    <xf numFmtId="170" fontId="4" fillId="0" borderId="52" xfId="0" applyNumberFormat="1" applyFont="1" applyFill="1" applyBorder="1"/>
    <xf numFmtId="170" fontId="4" fillId="0" borderId="51" xfId="0" applyNumberFormat="1" applyFont="1" applyFill="1" applyBorder="1"/>
    <xf numFmtId="170" fontId="4" fillId="0" borderId="25" xfId="0" applyNumberFormat="1" applyFont="1" applyFill="1" applyBorder="1"/>
    <xf numFmtId="170" fontId="4" fillId="0" borderId="44" xfId="0" applyNumberFormat="1" applyFont="1" applyFill="1" applyBorder="1"/>
    <xf numFmtId="170" fontId="4" fillId="0" borderId="45" xfId="0" applyNumberFormat="1" applyFont="1" applyFill="1" applyBorder="1"/>
    <xf numFmtId="170" fontId="4" fillId="0" borderId="43" xfId="0" applyNumberFormat="1" applyFont="1" applyFill="1" applyBorder="1"/>
    <xf numFmtId="170" fontId="4" fillId="0" borderId="60" xfId="0" applyNumberFormat="1" applyFont="1" applyFill="1" applyBorder="1"/>
    <xf numFmtId="170" fontId="4" fillId="0" borderId="47" xfId="0" applyNumberFormat="1" applyFont="1" applyFill="1" applyBorder="1"/>
    <xf numFmtId="0" fontId="5" fillId="0" borderId="1" xfId="0" applyNumberFormat="1" applyFont="1" applyBorder="1" applyAlignment="1">
      <alignment wrapText="1"/>
    </xf>
    <xf numFmtId="170" fontId="4" fillId="0" borderId="28" xfId="0" applyNumberFormat="1" applyFont="1" applyFill="1" applyBorder="1" applyAlignment="1">
      <alignment vertical="top"/>
    </xf>
    <xf numFmtId="170" fontId="4" fillId="0" borderId="23" xfId="0" applyNumberFormat="1" applyFont="1" applyFill="1" applyBorder="1" applyAlignment="1">
      <alignment vertical="top"/>
    </xf>
    <xf numFmtId="170" fontId="4" fillId="0" borderId="52" xfId="0" applyNumberFormat="1" applyFont="1" applyFill="1" applyBorder="1" applyAlignment="1">
      <alignment vertical="top"/>
    </xf>
    <xf numFmtId="170" fontId="4" fillId="0" borderId="51" xfId="0" applyNumberFormat="1" applyFont="1" applyFill="1" applyBorder="1" applyAlignment="1">
      <alignment vertical="top"/>
    </xf>
    <xf numFmtId="170" fontId="4" fillId="0" borderId="25" xfId="0" applyNumberFormat="1" applyFont="1" applyFill="1" applyBorder="1" applyAlignment="1">
      <alignment vertical="top"/>
    </xf>
    <xf numFmtId="0" fontId="4" fillId="0" borderId="1" xfId="0" applyNumberFormat="1" applyFont="1" applyBorder="1" applyAlignment="1">
      <alignment horizontal="left" wrapText="1" indent="1"/>
    </xf>
    <xf numFmtId="0" fontId="4" fillId="0" borderId="1" xfId="0" applyNumberFormat="1" applyFont="1" applyBorder="1"/>
    <xf numFmtId="0" fontId="7" fillId="0" borderId="10" xfId="0" applyNumberFormat="1" applyFont="1" applyBorder="1"/>
    <xf numFmtId="169" fontId="4" fillId="0" borderId="11" xfId="0" applyNumberFormat="1" applyFont="1" applyBorder="1"/>
    <xf numFmtId="169" fontId="4" fillId="0" borderId="20" xfId="0" applyNumberFormat="1" applyFont="1" applyBorder="1"/>
    <xf numFmtId="169" fontId="4" fillId="0" borderId="6" xfId="0" applyNumberFormat="1" applyFont="1" applyBorder="1"/>
    <xf numFmtId="169" fontId="4" fillId="0" borderId="5" xfId="0" applyNumberFormat="1" applyFont="1" applyBorder="1"/>
    <xf numFmtId="0" fontId="4" fillId="0" borderId="1" xfId="0" applyNumberFormat="1" applyFont="1" applyBorder="1" applyAlignment="1">
      <alignment horizontal="left" vertical="top" indent="1"/>
    </xf>
    <xf numFmtId="0" fontId="4" fillId="0" borderId="0" xfId="0" applyFont="1" applyBorder="1"/>
    <xf numFmtId="169" fontId="5" fillId="0" borderId="2" xfId="0" applyNumberFormat="1" applyFont="1" applyBorder="1"/>
    <xf numFmtId="169" fontId="5" fillId="0" borderId="19" xfId="0" applyNumberFormat="1" applyFont="1" applyBorder="1"/>
    <xf numFmtId="169" fontId="5" fillId="0" borderId="7" xfId="0" applyNumberFormat="1" applyFont="1" applyBorder="1"/>
    <xf numFmtId="169" fontId="5" fillId="0" borderId="0" xfId="0" applyNumberFormat="1" applyFont="1" applyBorder="1"/>
    <xf numFmtId="0" fontId="4" fillId="0" borderId="4" xfId="0" applyFont="1" applyBorder="1"/>
    <xf numFmtId="169" fontId="4" fillId="0" borderId="3" xfId="0" applyNumberFormat="1" applyFont="1" applyBorder="1"/>
    <xf numFmtId="169" fontId="4" fillId="0" borderId="13" xfId="0" applyNumberFormat="1" applyFont="1" applyBorder="1"/>
    <xf numFmtId="169" fontId="4" fillId="0" borderId="9" xfId="0" applyNumberFormat="1" applyFont="1" applyBorder="1"/>
    <xf numFmtId="169" fontId="4" fillId="0" borderId="8" xfId="0" applyNumberFormat="1" applyFont="1" applyBorder="1"/>
    <xf numFmtId="0" fontId="7" fillId="0" borderId="10" xfId="0" applyFont="1" applyBorder="1"/>
    <xf numFmtId="0" fontId="4" fillId="0" borderId="1" xfId="0" applyFont="1" applyBorder="1" applyAlignment="1">
      <alignment horizontal="left" indent="1"/>
    </xf>
    <xf numFmtId="0" fontId="4" fillId="0" borderId="4" xfId="0" applyFont="1" applyFill="1" applyBorder="1"/>
    <xf numFmtId="169" fontId="4" fillId="0" borderId="3" xfId="0" applyNumberFormat="1" applyFont="1" applyFill="1" applyBorder="1"/>
    <xf numFmtId="169" fontId="4" fillId="0" borderId="13" xfId="0" applyNumberFormat="1" applyFont="1" applyFill="1" applyBorder="1"/>
    <xf numFmtId="169" fontId="4" fillId="0" borderId="9" xfId="0" applyNumberFormat="1" applyFont="1" applyFill="1" applyBorder="1"/>
    <xf numFmtId="169" fontId="4" fillId="0" borderId="8" xfId="0" applyNumberFormat="1" applyFont="1" applyFill="1" applyBorder="1"/>
    <xf numFmtId="169" fontId="4" fillId="0" borderId="2" xfId="0" applyNumberFormat="1" applyFont="1" applyFill="1" applyBorder="1"/>
    <xf numFmtId="169" fontId="4" fillId="0" borderId="19" xfId="0" applyNumberFormat="1" applyFont="1" applyFill="1" applyBorder="1"/>
    <xf numFmtId="169" fontId="4" fillId="0" borderId="7" xfId="0" applyNumberFormat="1" applyFont="1" applyFill="1" applyBorder="1"/>
    <xf numFmtId="0" fontId="7" fillId="0" borderId="1" xfId="0" applyFont="1" applyFill="1" applyBorder="1" applyAlignment="1">
      <alignment horizontal="left" indent="1"/>
    </xf>
    <xf numFmtId="169" fontId="4" fillId="0" borderId="0" xfId="0" applyNumberFormat="1" applyFont="1" applyFill="1" applyBorder="1"/>
    <xf numFmtId="0" fontId="4" fillId="0" borderId="1" xfId="0" applyFont="1" applyFill="1" applyBorder="1" applyAlignment="1">
      <alignment horizontal="left" indent="2"/>
    </xf>
    <xf numFmtId="0" fontId="4" fillId="0" borderId="0" xfId="0" applyFont="1" applyAlignment="1">
      <alignment horizontal="left" wrapText="1"/>
    </xf>
    <xf numFmtId="0" fontId="3" fillId="0" borderId="8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2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7" fillId="0" borderId="2" xfId="0" applyNumberFormat="1" applyFont="1" applyBorder="1"/>
    <xf numFmtId="0" fontId="4" fillId="0" borderId="19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2" xfId="0" applyNumberFormat="1" applyFont="1" applyFill="1" applyBorder="1" applyAlignment="1" applyProtection="1">
      <alignment horizontal="left" indent="1"/>
    </xf>
    <xf numFmtId="170" fontId="5" fillId="0" borderId="41" xfId="0" applyNumberFormat="1" applyFont="1" applyFill="1" applyBorder="1" applyProtection="1"/>
    <xf numFmtId="170" fontId="5" fillId="0" borderId="24" xfId="0" applyNumberFormat="1" applyFont="1" applyFill="1" applyBorder="1" applyProtection="1"/>
    <xf numFmtId="170" fontId="5" fillId="0" borderId="49" xfId="0" applyNumberFormat="1" applyFont="1" applyFill="1" applyBorder="1" applyProtection="1"/>
    <xf numFmtId="170" fontId="5" fillId="0" borderId="61" xfId="0" applyNumberFormat="1" applyFont="1" applyFill="1" applyBorder="1" applyProtection="1"/>
    <xf numFmtId="0" fontId="4" fillId="0" borderId="2" xfId="0" applyNumberFormat="1" applyFont="1" applyFill="1" applyBorder="1" applyAlignment="1" applyProtection="1">
      <alignment horizontal="left" indent="2"/>
    </xf>
    <xf numFmtId="170" fontId="4" fillId="0" borderId="19" xfId="0" applyNumberFormat="1" applyFont="1" applyFill="1" applyBorder="1" applyProtection="1"/>
    <xf numFmtId="170" fontId="4" fillId="0" borderId="7" xfId="0" applyNumberFormat="1" applyFont="1" applyFill="1" applyBorder="1" applyProtection="1"/>
    <xf numFmtId="170" fontId="4" fillId="0" borderId="2" xfId="0" applyNumberFormat="1" applyFont="1" applyFill="1" applyBorder="1" applyProtection="1"/>
    <xf numFmtId="170" fontId="4" fillId="0" borderId="0" xfId="0" applyNumberFormat="1" applyFont="1" applyFill="1" applyBorder="1" applyProtection="1"/>
    <xf numFmtId="170" fontId="4" fillId="0" borderId="24" xfId="0" applyNumberFormat="1" applyFont="1" applyFill="1" applyBorder="1" applyProtection="1"/>
    <xf numFmtId="170" fontId="5" fillId="0" borderId="7" xfId="0" applyNumberFormat="1" applyFont="1" applyFill="1" applyBorder="1" applyProtection="1"/>
    <xf numFmtId="170" fontId="5" fillId="0" borderId="2" xfId="0" applyNumberFormat="1" applyFont="1" applyFill="1" applyBorder="1" applyProtection="1"/>
    <xf numFmtId="170" fontId="5" fillId="0" borderId="0" xfId="0" applyNumberFormat="1" applyFont="1" applyFill="1" applyBorder="1" applyProtection="1"/>
    <xf numFmtId="0" fontId="5" fillId="0" borderId="37" xfId="0" applyNumberFormat="1" applyFont="1" applyBorder="1" applyProtection="1"/>
    <xf numFmtId="170" fontId="5" fillId="0" borderId="35" xfId="0" applyNumberFormat="1" applyFont="1" applyFill="1" applyBorder="1"/>
    <xf numFmtId="170" fontId="5" fillId="0" borderId="36" xfId="0" applyNumberFormat="1" applyFont="1" applyFill="1" applyBorder="1"/>
    <xf numFmtId="170" fontId="5" fillId="0" borderId="37" xfId="0" applyNumberFormat="1" applyFont="1" applyFill="1" applyBorder="1"/>
    <xf numFmtId="170" fontId="5" fillId="0" borderId="34" xfId="0" applyNumberFormat="1" applyFont="1" applyFill="1" applyBorder="1"/>
    <xf numFmtId="170" fontId="5" fillId="0" borderId="38" xfId="0" applyNumberFormat="1" applyFont="1" applyFill="1" applyBorder="1"/>
    <xf numFmtId="164" fontId="4" fillId="0" borderId="0" xfId="0" applyNumberFormat="1" applyFont="1"/>
    <xf numFmtId="167" fontId="4" fillId="0" borderId="0" xfId="0" applyNumberFormat="1" applyFont="1"/>
    <xf numFmtId="0" fontId="4" fillId="0" borderId="2" xfId="0" applyNumberFormat="1" applyFont="1" applyBorder="1" applyProtection="1"/>
    <xf numFmtId="170" fontId="4" fillId="0" borderId="7" xfId="0" applyNumberFormat="1" applyFont="1" applyFill="1" applyBorder="1"/>
    <xf numFmtId="170" fontId="4" fillId="0" borderId="2" xfId="0" applyNumberFormat="1" applyFont="1" applyFill="1" applyBorder="1"/>
    <xf numFmtId="0" fontId="7" fillId="0" borderId="2" xfId="0" applyNumberFormat="1" applyFont="1" applyBorder="1" applyProtection="1"/>
    <xf numFmtId="167" fontId="4" fillId="0" borderId="0" xfId="0" applyNumberFormat="1" applyFont="1" applyAlignment="1">
      <alignment horizontal="center"/>
    </xf>
    <xf numFmtId="0" fontId="5" fillId="0" borderId="29" xfId="0" applyNumberFormat="1" applyFont="1" applyBorder="1" applyProtection="1"/>
    <xf numFmtId="170" fontId="5" fillId="0" borderId="13" xfId="0" applyNumberFormat="1" applyFont="1" applyBorder="1"/>
    <xf numFmtId="170" fontId="5" fillId="0" borderId="9" xfId="0" applyNumberFormat="1" applyFont="1" applyBorder="1"/>
    <xf numFmtId="170" fontId="5" fillId="0" borderId="3" xfId="0" applyNumberFormat="1" applyFont="1" applyBorder="1"/>
    <xf numFmtId="170" fontId="5" fillId="0" borderId="8" xfId="0" applyNumberFormat="1" applyFont="1" applyBorder="1"/>
    <xf numFmtId="170" fontId="5" fillId="0" borderId="39" xfId="0" applyNumberFormat="1" applyFont="1" applyBorder="1"/>
    <xf numFmtId="0" fontId="4" fillId="0" borderId="0" xfId="0" applyFont="1" applyAlignment="1">
      <alignment horizontal="center"/>
    </xf>
    <xf numFmtId="170" fontId="4" fillId="0" borderId="0" xfId="0" applyNumberFormat="1" applyFont="1"/>
    <xf numFmtId="0" fontId="3" fillId="0" borderId="8" xfId="0" applyFont="1" applyFill="1" applyBorder="1" applyAlignment="1" applyProtection="1">
      <alignment horizontal="left"/>
    </xf>
    <xf numFmtId="0" fontId="2" fillId="0" borderId="0" xfId="0" applyFont="1"/>
    <xf numFmtId="0" fontId="5" fillId="0" borderId="22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7" fillId="0" borderId="2" xfId="0" applyFont="1" applyBorder="1" applyProtection="1"/>
    <xf numFmtId="0" fontId="5" fillId="0" borderId="20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0" fontId="5" fillId="0" borderId="22" xfId="0" applyFont="1" applyBorder="1" applyAlignment="1" applyProtection="1">
      <alignment horizontal="center"/>
    </xf>
    <xf numFmtId="0" fontId="5" fillId="0" borderId="48" xfId="0" applyFont="1" applyBorder="1" applyAlignment="1" applyProtection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 applyProtection="1">
      <alignment horizontal="left" indent="1"/>
    </xf>
    <xf numFmtId="170" fontId="4" fillId="0" borderId="19" xfId="0" applyNumberFormat="1" applyFont="1" applyBorder="1" applyAlignment="1" applyProtection="1">
      <alignment horizontal="right"/>
    </xf>
    <xf numFmtId="170" fontId="4" fillId="0" borderId="7" xfId="0" applyNumberFormat="1" applyFont="1" applyBorder="1" applyAlignment="1" applyProtection="1">
      <alignment horizontal="right"/>
    </xf>
    <xf numFmtId="170" fontId="4" fillId="0" borderId="2" xfId="0" applyNumberFormat="1" applyFont="1" applyBorder="1" applyAlignment="1" applyProtection="1">
      <alignment horizontal="right"/>
    </xf>
    <xf numFmtId="170" fontId="4" fillId="0" borderId="0" xfId="0" applyNumberFormat="1" applyFont="1" applyBorder="1" applyAlignment="1" applyProtection="1">
      <alignment horizontal="right"/>
    </xf>
    <xf numFmtId="170" fontId="4" fillId="0" borderId="24" xfId="0" applyNumberFormat="1" applyFont="1" applyBorder="1" applyAlignment="1" applyProtection="1">
      <alignment horizontal="right"/>
    </xf>
    <xf numFmtId="170" fontId="4" fillId="0" borderId="49" xfId="0" applyNumberFormat="1" applyFont="1" applyBorder="1" applyAlignment="1" applyProtection="1">
      <alignment horizontal="right"/>
    </xf>
    <xf numFmtId="170" fontId="4" fillId="0" borderId="61" xfId="0" applyNumberFormat="1" applyFont="1" applyBorder="1" applyAlignment="1" applyProtection="1">
      <alignment horizontal="right"/>
    </xf>
    <xf numFmtId="170" fontId="4" fillId="0" borderId="19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0" fontId="4" fillId="0" borderId="2" xfId="0" applyNumberFormat="1" applyFont="1" applyBorder="1" applyAlignment="1">
      <alignment horizontal="right"/>
    </xf>
    <xf numFmtId="170" fontId="4" fillId="0" borderId="7" xfId="0" applyNumberFormat="1" applyFont="1" applyBorder="1" applyAlignment="1">
      <alignment horizontal="right"/>
    </xf>
    <xf numFmtId="170" fontId="4" fillId="0" borderId="24" xfId="0" applyNumberFormat="1" applyFont="1" applyBorder="1" applyAlignment="1">
      <alignment horizontal="right"/>
    </xf>
    <xf numFmtId="170" fontId="4" fillId="0" borderId="49" xfId="0" applyNumberFormat="1" applyFont="1" applyBorder="1" applyAlignment="1">
      <alignment horizontal="right"/>
    </xf>
    <xf numFmtId="170" fontId="4" fillId="0" borderId="44" xfId="0" applyNumberFormat="1" applyFont="1" applyBorder="1" applyAlignment="1">
      <alignment horizontal="right"/>
    </xf>
    <xf numFmtId="0" fontId="5" fillId="0" borderId="37" xfId="0" applyFont="1" applyBorder="1" applyAlignment="1" applyProtection="1">
      <alignment horizontal="left"/>
    </xf>
    <xf numFmtId="170" fontId="5" fillId="0" borderId="35" xfId="0" applyNumberFormat="1" applyFont="1" applyBorder="1" applyAlignment="1" applyProtection="1">
      <alignment horizontal="right"/>
    </xf>
    <xf numFmtId="170" fontId="5" fillId="0" borderId="36" xfId="0" applyNumberFormat="1" applyFont="1" applyBorder="1" applyAlignment="1" applyProtection="1">
      <alignment horizontal="right"/>
    </xf>
    <xf numFmtId="170" fontId="5" fillId="0" borderId="37" xfId="0" applyNumberFormat="1" applyFont="1" applyBorder="1" applyAlignment="1" applyProtection="1">
      <alignment horizontal="right"/>
    </xf>
    <xf numFmtId="170" fontId="5" fillId="0" borderId="34" xfId="0" applyNumberFormat="1" applyFont="1" applyBorder="1" applyAlignment="1" applyProtection="1">
      <alignment horizontal="right"/>
    </xf>
    <xf numFmtId="170" fontId="5" fillId="0" borderId="38" xfId="0" applyNumberFormat="1" applyFont="1" applyBorder="1" applyAlignment="1" applyProtection="1">
      <alignment horizontal="right"/>
    </xf>
    <xf numFmtId="170" fontId="5" fillId="0" borderId="56" xfId="0" applyNumberFormat="1" applyFont="1" applyBorder="1" applyAlignment="1" applyProtection="1">
      <alignment horizontal="right"/>
    </xf>
    <xf numFmtId="168" fontId="5" fillId="0" borderId="71" xfId="0" applyNumberFormat="1" applyFont="1" applyBorder="1"/>
    <xf numFmtId="168" fontId="5" fillId="0" borderId="72" xfId="0" applyNumberFormat="1" applyFont="1" applyBorder="1"/>
    <xf numFmtId="0" fontId="4" fillId="0" borderId="2" xfId="0" applyFont="1" applyBorder="1" applyProtection="1"/>
    <xf numFmtId="170" fontId="4" fillId="0" borderId="19" xfId="0" applyNumberFormat="1" applyFont="1" applyBorder="1" applyProtection="1"/>
    <xf numFmtId="170" fontId="4" fillId="0" borderId="7" xfId="0" applyNumberFormat="1" applyFont="1" applyBorder="1" applyProtection="1"/>
    <xf numFmtId="170" fontId="4" fillId="0" borderId="2" xfId="0" applyNumberFormat="1" applyFont="1" applyBorder="1" applyProtection="1"/>
    <xf numFmtId="170" fontId="4" fillId="0" borderId="0" xfId="0" applyNumberFormat="1" applyFont="1" applyBorder="1" applyProtection="1"/>
    <xf numFmtId="170" fontId="4" fillId="0" borderId="24" xfId="0" applyNumberFormat="1" applyFont="1" applyBorder="1" applyProtection="1"/>
    <xf numFmtId="170" fontId="4" fillId="0" borderId="49" xfId="0" applyNumberFormat="1" applyFont="1" applyBorder="1" applyProtection="1"/>
    <xf numFmtId="168" fontId="4" fillId="0" borderId="7" xfId="0" applyNumberFormat="1" applyFont="1" applyBorder="1"/>
    <xf numFmtId="168" fontId="4" fillId="0" borderId="1" xfId="0" applyNumberFormat="1" applyFont="1" applyBorder="1"/>
    <xf numFmtId="168" fontId="4" fillId="0" borderId="7" xfId="0" applyNumberFormat="1" applyFont="1" applyFill="1" applyBorder="1"/>
    <xf numFmtId="168" fontId="4" fillId="0" borderId="1" xfId="0" applyNumberFormat="1" applyFont="1" applyFill="1" applyBorder="1"/>
    <xf numFmtId="170" fontId="4" fillId="0" borderId="19" xfId="0" applyNumberFormat="1" applyFont="1" applyBorder="1" applyAlignment="1">
      <alignment horizontal="center"/>
    </xf>
    <xf numFmtId="170" fontId="4" fillId="0" borderId="19" xfId="0" applyNumberFormat="1" applyFont="1" applyFill="1" applyBorder="1" applyAlignment="1" applyProtection="1">
      <alignment horizontal="center"/>
    </xf>
    <xf numFmtId="170" fontId="4" fillId="0" borderId="7" xfId="0" applyNumberFormat="1" applyFont="1" applyFill="1" applyBorder="1" applyAlignment="1" applyProtection="1">
      <alignment horizontal="right"/>
    </xf>
    <xf numFmtId="170" fontId="4" fillId="0" borderId="2" xfId="0" applyNumberFormat="1" applyFont="1" applyFill="1" applyBorder="1" applyAlignment="1" applyProtection="1">
      <alignment horizontal="right"/>
    </xf>
    <xf numFmtId="170" fontId="4" fillId="0" borderId="19" xfId="0" applyNumberFormat="1" applyFont="1" applyFill="1" applyBorder="1" applyAlignment="1" applyProtection="1">
      <alignment horizontal="right"/>
    </xf>
    <xf numFmtId="170" fontId="4" fillId="0" borderId="24" xfId="0" applyNumberFormat="1" applyFont="1" applyFill="1" applyBorder="1" applyAlignment="1" applyProtection="1">
      <alignment horizontal="right"/>
    </xf>
    <xf numFmtId="170" fontId="4" fillId="0" borderId="49" xfId="0" applyNumberFormat="1" applyFont="1" applyFill="1" applyBorder="1" applyAlignment="1" applyProtection="1">
      <alignment horizontal="right"/>
    </xf>
    <xf numFmtId="170" fontId="5" fillId="0" borderId="35" xfId="0" applyNumberFormat="1" applyFont="1" applyBorder="1" applyProtection="1"/>
    <xf numFmtId="170" fontId="5" fillId="0" borderId="36" xfId="0" applyNumberFormat="1" applyFont="1" applyBorder="1" applyProtection="1"/>
    <xf numFmtId="170" fontId="5" fillId="0" borderId="37" xfId="0" applyNumberFormat="1" applyFont="1" applyBorder="1" applyProtection="1"/>
    <xf numFmtId="170" fontId="5" fillId="0" borderId="34" xfId="0" applyNumberFormat="1" applyFont="1" applyBorder="1" applyProtection="1"/>
    <xf numFmtId="170" fontId="5" fillId="0" borderId="38" xfId="0" applyNumberFormat="1" applyFont="1" applyBorder="1" applyProtection="1"/>
    <xf numFmtId="170" fontId="5" fillId="0" borderId="56" xfId="0" applyNumberFormat="1" applyFont="1" applyBorder="1" applyProtection="1"/>
    <xf numFmtId="0" fontId="5" fillId="0" borderId="29" xfId="0" applyFont="1" applyBorder="1" applyProtection="1"/>
    <xf numFmtId="170" fontId="5" fillId="0" borderId="30" xfId="0" applyNumberFormat="1" applyFont="1" applyFill="1" applyBorder="1" applyProtection="1"/>
    <xf numFmtId="170" fontId="5" fillId="0" borderId="32" xfId="0" applyNumberFormat="1" applyFont="1" applyBorder="1" applyProtection="1"/>
    <xf numFmtId="170" fontId="5" fillId="0" borderId="29" xfId="0" applyNumberFormat="1" applyFont="1" applyBorder="1" applyProtection="1"/>
    <xf numFmtId="170" fontId="5" fillId="0" borderId="30" xfId="0" applyNumberFormat="1" applyFont="1" applyBorder="1" applyProtection="1"/>
    <xf numFmtId="170" fontId="5" fillId="0" borderId="31" xfId="0" applyNumberFormat="1" applyFont="1" applyBorder="1" applyProtection="1"/>
    <xf numFmtId="170" fontId="5" fillId="0" borderId="33" xfId="0" applyNumberFormat="1" applyFont="1" applyBorder="1" applyProtection="1"/>
    <xf numFmtId="170" fontId="5" fillId="0" borderId="54" xfId="0" applyNumberFormat="1" applyFont="1" applyBorder="1" applyProtection="1"/>
    <xf numFmtId="168" fontId="5" fillId="0" borderId="73" xfId="0" applyNumberFormat="1" applyFont="1" applyBorder="1"/>
    <xf numFmtId="168" fontId="5" fillId="0" borderId="74" xfId="0" applyNumberFormat="1" applyFont="1" applyBorder="1"/>
    <xf numFmtId="0" fontId="8" fillId="0" borderId="0" xfId="0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168" fontId="5" fillId="0" borderId="6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left" indent="1"/>
    </xf>
    <xf numFmtId="170" fontId="4" fillId="0" borderId="41" xfId="0" applyNumberFormat="1" applyFont="1" applyFill="1" applyBorder="1" applyProtection="1"/>
    <xf numFmtId="170" fontId="4" fillId="0" borderId="49" xfId="0" applyNumberFormat="1" applyFont="1" applyFill="1" applyBorder="1" applyProtection="1"/>
    <xf numFmtId="170" fontId="4" fillId="3" borderId="19" xfId="0" applyNumberFormat="1" applyFont="1" applyFill="1" applyBorder="1" applyProtection="1">
      <protection locked="0"/>
    </xf>
    <xf numFmtId="170" fontId="4" fillId="3" borderId="41" xfId="0" applyNumberFormat="1" applyFont="1" applyFill="1" applyBorder="1" applyProtection="1">
      <protection locked="0"/>
    </xf>
    <xf numFmtId="170" fontId="4" fillId="3" borderId="24" xfId="0" applyNumberFormat="1" applyFont="1" applyFill="1" applyBorder="1" applyProtection="1">
      <protection locked="0"/>
    </xf>
    <xf numFmtId="170" fontId="4" fillId="3" borderId="49" xfId="0" applyNumberFormat="1" applyFont="1" applyFill="1" applyBorder="1" applyProtection="1">
      <protection locked="0"/>
    </xf>
    <xf numFmtId="170" fontId="4" fillId="3" borderId="0" xfId="0" applyNumberFormat="1" applyFont="1" applyFill="1" applyBorder="1" applyProtection="1">
      <protection locked="0"/>
    </xf>
    <xf numFmtId="0" fontId="4" fillId="0" borderId="2" xfId="0" applyNumberFormat="1" applyFont="1" applyFill="1" applyBorder="1" applyAlignment="1">
      <alignment horizontal="left" indent="1"/>
    </xf>
    <xf numFmtId="170" fontId="4" fillId="0" borderId="7" xfId="0" applyNumberFormat="1" applyFont="1" applyBorder="1"/>
    <xf numFmtId="170" fontId="4" fillId="0" borderId="2" xfId="0" applyNumberFormat="1" applyFont="1" applyBorder="1"/>
    <xf numFmtId="170" fontId="4" fillId="0" borderId="19" xfId="0" applyNumberFormat="1" applyFont="1" applyBorder="1"/>
    <xf numFmtId="170" fontId="4" fillId="0" borderId="49" xfId="0" applyNumberFormat="1" applyFont="1" applyBorder="1"/>
    <xf numFmtId="170" fontId="4" fillId="0" borderId="0" xfId="0" applyNumberFormat="1" applyFont="1" applyBorder="1"/>
    <xf numFmtId="170" fontId="4" fillId="0" borderId="24" xfId="0" applyNumberFormat="1" applyFont="1" applyBorder="1"/>
    <xf numFmtId="170" fontId="4" fillId="3" borderId="7" xfId="0" applyNumberFormat="1" applyFont="1" applyFill="1" applyBorder="1" applyProtection="1">
      <protection locked="0"/>
    </xf>
    <xf numFmtId="170" fontId="4" fillId="3" borderId="2" xfId="0" applyNumberFormat="1" applyFont="1" applyFill="1" applyBorder="1" applyProtection="1">
      <protection locked="0"/>
    </xf>
    <xf numFmtId="0" fontId="5" fillId="0" borderId="37" xfId="0" applyNumberFormat="1" applyFont="1" applyBorder="1" applyAlignment="1">
      <alignment horizontal="left" vertical="top" wrapText="1"/>
    </xf>
    <xf numFmtId="170" fontId="5" fillId="0" borderId="35" xfId="0" applyNumberFormat="1" applyFont="1" applyBorder="1" applyAlignment="1">
      <alignment vertical="top"/>
    </xf>
    <xf numFmtId="170" fontId="5" fillId="0" borderId="36" xfId="0" applyNumberFormat="1" applyFont="1" applyBorder="1" applyAlignment="1">
      <alignment vertical="top"/>
    </xf>
    <xf numFmtId="170" fontId="5" fillId="0" borderId="37" xfId="0" applyNumberFormat="1" applyFont="1" applyBorder="1" applyAlignment="1">
      <alignment vertical="top"/>
    </xf>
    <xf numFmtId="170" fontId="5" fillId="0" borderId="38" xfId="0" applyNumberFormat="1" applyFont="1" applyBorder="1" applyAlignment="1">
      <alignment vertical="top"/>
    </xf>
    <xf numFmtId="0" fontId="4" fillId="0" borderId="2" xfId="0" applyNumberFormat="1" applyFont="1" applyBorder="1"/>
    <xf numFmtId="0" fontId="5" fillId="0" borderId="37" xfId="0" applyNumberFormat="1" applyFont="1" applyBorder="1" applyAlignment="1">
      <alignment vertical="top"/>
    </xf>
    <xf numFmtId="170" fontId="5" fillId="0" borderId="23" xfId="0" applyNumberFormat="1" applyFont="1" applyBorder="1"/>
    <xf numFmtId="170" fontId="5" fillId="0" borderId="26" xfId="0" applyNumberFormat="1" applyFont="1" applyBorder="1"/>
    <xf numFmtId="170" fontId="5" fillId="0" borderId="27" xfId="0" applyNumberFormat="1" applyFont="1" applyBorder="1"/>
    <xf numFmtId="170" fontId="5" fillId="0" borderId="28" xfId="0" applyNumberFormat="1" applyFont="1" applyBorder="1"/>
    <xf numFmtId="168" fontId="5" fillId="0" borderId="7" xfId="0" applyNumberFormat="1" applyFont="1" applyBorder="1"/>
    <xf numFmtId="168" fontId="5" fillId="0" borderId="1" xfId="0" applyNumberFormat="1" applyFont="1" applyBorder="1"/>
    <xf numFmtId="0" fontId="5" fillId="0" borderId="2" xfId="0" applyNumberFormat="1" applyFont="1" applyBorder="1"/>
    <xf numFmtId="170" fontId="5" fillId="0" borderId="19" xfId="0" applyNumberFormat="1" applyFont="1" applyBorder="1"/>
    <xf numFmtId="170" fontId="5" fillId="0" borderId="7" xfId="0" applyNumberFormat="1" applyFont="1" applyBorder="1"/>
    <xf numFmtId="170" fontId="5" fillId="0" borderId="2" xfId="0" applyNumberFormat="1" applyFont="1" applyBorder="1"/>
    <xf numFmtId="170" fontId="5" fillId="0" borderId="24" xfId="0" applyNumberFormat="1" applyFont="1" applyBorder="1"/>
    <xf numFmtId="170" fontId="5" fillId="0" borderId="23" xfId="0" applyNumberFormat="1" applyFont="1" applyBorder="1" applyAlignment="1">
      <alignment vertical="top"/>
    </xf>
    <xf numFmtId="170" fontId="5" fillId="0" borderId="26" xfId="0" applyNumberFormat="1" applyFont="1" applyBorder="1" applyAlignment="1">
      <alignment vertical="top"/>
    </xf>
    <xf numFmtId="170" fontId="5" fillId="0" borderId="27" xfId="0" applyNumberFormat="1" applyFont="1" applyBorder="1" applyAlignment="1">
      <alignment vertical="top"/>
    </xf>
    <xf numFmtId="170" fontId="5" fillId="0" borderId="28" xfId="0" applyNumberFormat="1" applyFont="1" applyBorder="1" applyAlignment="1">
      <alignment vertical="top"/>
    </xf>
    <xf numFmtId="0" fontId="5" fillId="0" borderId="2" xfId="0" applyNumberFormat="1" applyFont="1" applyBorder="1" applyAlignment="1">
      <alignment wrapText="1"/>
    </xf>
    <xf numFmtId="0" fontId="4" fillId="0" borderId="2" xfId="0" applyNumberFormat="1" applyFont="1" applyBorder="1" applyAlignment="1">
      <alignment horizontal="left" wrapText="1" indent="1"/>
    </xf>
    <xf numFmtId="0" fontId="5" fillId="0" borderId="33" xfId="0" applyNumberFormat="1" applyFont="1" applyBorder="1"/>
    <xf numFmtId="170" fontId="5" fillId="0" borderId="30" xfId="0" applyNumberFormat="1" applyFont="1" applyFill="1" applyBorder="1"/>
    <xf numFmtId="170" fontId="5" fillId="0" borderId="30" xfId="0" applyNumberFormat="1" applyFont="1" applyBorder="1"/>
    <xf numFmtId="170" fontId="5" fillId="0" borderId="32" xfId="0" applyNumberFormat="1" applyFont="1" applyFill="1" applyBorder="1"/>
    <xf numFmtId="170" fontId="5" fillId="0" borderId="29" xfId="0" applyNumberFormat="1" applyFont="1" applyFill="1" applyBorder="1"/>
    <xf numFmtId="170" fontId="5" fillId="0" borderId="32" xfId="0" applyNumberFormat="1" applyFont="1" applyBorder="1"/>
    <xf numFmtId="170" fontId="5" fillId="0" borderId="29" xfId="0" applyNumberFormat="1" applyFont="1" applyBorder="1"/>
    <xf numFmtId="170" fontId="5" fillId="0" borderId="33" xfId="0" applyNumberFormat="1" applyFont="1" applyBorder="1"/>
    <xf numFmtId="168" fontId="4" fillId="0" borderId="0" xfId="0" applyNumberFormat="1" applyFont="1"/>
    <xf numFmtId="168" fontId="4" fillId="0" borderId="0" xfId="0" applyNumberFormat="1" applyFont="1" applyBorder="1"/>
    <xf numFmtId="0" fontId="5" fillId="0" borderId="13" xfId="0" applyFont="1" applyFill="1" applyBorder="1" applyAlignment="1">
      <alignment vertical="center"/>
    </xf>
    <xf numFmtId="0" fontId="5" fillId="0" borderId="2" xfId="0" applyFont="1" applyBorder="1"/>
    <xf numFmtId="170" fontId="5" fillId="0" borderId="20" xfId="0" applyNumberFormat="1" applyFont="1" applyBorder="1" applyAlignment="1">
      <alignment horizontal="center"/>
    </xf>
    <xf numFmtId="170" fontId="5" fillId="0" borderId="6" xfId="0" applyNumberFormat="1" applyFont="1" applyBorder="1" applyAlignment="1">
      <alignment horizontal="center"/>
    </xf>
    <xf numFmtId="170" fontId="5" fillId="0" borderId="11" xfId="0" applyNumberFormat="1" applyFont="1" applyBorder="1" applyAlignment="1">
      <alignment horizontal="center"/>
    </xf>
    <xf numFmtId="170" fontId="5" fillId="0" borderId="5" xfId="0" applyNumberFormat="1" applyFont="1" applyBorder="1" applyAlignment="1">
      <alignment horizontal="center"/>
    </xf>
    <xf numFmtId="170" fontId="5" fillId="0" borderId="2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0" fontId="5" fillId="0" borderId="37" xfId="0" applyFont="1" applyBorder="1"/>
    <xf numFmtId="170" fontId="5" fillId="0" borderId="35" xfId="0" applyNumberFormat="1" applyFont="1" applyBorder="1"/>
    <xf numFmtId="170" fontId="5" fillId="0" borderId="36" xfId="0" applyNumberFormat="1" applyFont="1" applyBorder="1"/>
    <xf numFmtId="170" fontId="5" fillId="0" borderId="37" xfId="0" applyNumberFormat="1" applyFont="1" applyBorder="1"/>
    <xf numFmtId="170" fontId="5" fillId="0" borderId="38" xfId="0" applyNumberFormat="1" applyFont="1" applyBorder="1"/>
    <xf numFmtId="0" fontId="4" fillId="0" borderId="2" xfId="0" applyFont="1" applyBorder="1"/>
    <xf numFmtId="170" fontId="5" fillId="0" borderId="66" xfId="0" applyNumberFormat="1" applyFont="1" applyBorder="1"/>
    <xf numFmtId="170" fontId="5" fillId="0" borderId="25" xfId="0" applyNumberFormat="1" applyFont="1" applyBorder="1"/>
    <xf numFmtId="170" fontId="5" fillId="0" borderId="34" xfId="0" applyNumberFormat="1" applyFont="1" applyBorder="1"/>
    <xf numFmtId="0" fontId="5" fillId="0" borderId="3" xfId="0" applyFont="1" applyBorder="1"/>
    <xf numFmtId="0" fontId="5" fillId="0" borderId="2" xfId="0" applyFont="1" applyFill="1" applyBorder="1"/>
    <xf numFmtId="0" fontId="5" fillId="0" borderId="29" xfId="0" applyFont="1" applyBorder="1"/>
    <xf numFmtId="170" fontId="5" fillId="0" borderId="31" xfId="0" applyNumberFormat="1" applyFont="1" applyBorder="1"/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0" fontId="7" fillId="0" borderId="2" xfId="0" applyFont="1" applyBorder="1"/>
    <xf numFmtId="170" fontId="5" fillId="0" borderId="10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left" indent="1"/>
    </xf>
    <xf numFmtId="170" fontId="5" fillId="0" borderId="1" xfId="0" applyNumberFormat="1" applyFont="1" applyBorder="1"/>
    <xf numFmtId="170" fontId="5" fillId="0" borderId="21" xfId="0" applyNumberFormat="1" applyFont="1" applyBorder="1"/>
    <xf numFmtId="170" fontId="5" fillId="3" borderId="19" xfId="0" applyNumberFormat="1" applyFont="1" applyFill="1" applyBorder="1" applyProtection="1">
      <protection locked="0"/>
    </xf>
    <xf numFmtId="0" fontId="4" fillId="0" borderId="2" xfId="0" applyFont="1" applyBorder="1" applyAlignment="1">
      <alignment horizontal="left" wrapText="1" indent="1"/>
    </xf>
    <xf numFmtId="0" fontId="5" fillId="0" borderId="29" xfId="0" applyFont="1" applyBorder="1" applyAlignment="1">
      <alignment vertical="top" wrapText="1"/>
    </xf>
    <xf numFmtId="170" fontId="5" fillId="0" borderId="30" xfId="0" applyNumberFormat="1" applyFont="1" applyBorder="1" applyAlignment="1">
      <alignment vertical="top"/>
    </xf>
    <xf numFmtId="170" fontId="5" fillId="0" borderId="58" xfId="0" applyNumberFormat="1" applyFont="1" applyBorder="1" applyAlignment="1">
      <alignment vertical="top"/>
    </xf>
    <xf numFmtId="17" fontId="6" fillId="0" borderId="0" xfId="0" quotePrefix="1" applyNumberFormat="1" applyFont="1" applyAlignment="1">
      <alignment horizont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/>
    </xf>
    <xf numFmtId="0" fontId="1" fillId="0" borderId="8" xfId="0" applyFont="1" applyBorder="1" applyAlignment="1"/>
    <xf numFmtId="0" fontId="5" fillId="0" borderId="17" xfId="0" applyFont="1" applyFill="1" applyBorder="1" applyAlignment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 applyProtection="1">
      <alignment horizontal="center" vertical="center" wrapText="1"/>
    </xf>
    <xf numFmtId="0" fontId="5" fillId="4" borderId="70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71" xfId="0" applyFont="1" applyBorder="1"/>
    <xf numFmtId="0" fontId="5" fillId="4" borderId="12" xfId="0" applyFont="1" applyFill="1" applyBorder="1" applyAlignment="1">
      <alignment horizontal="center" vertical="center" wrapText="1"/>
    </xf>
    <xf numFmtId="0" fontId="5" fillId="4" borderId="71" xfId="0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5" xfId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 applyProtection="1">
      <alignment horizontal="center" vertical="center"/>
    </xf>
    <xf numFmtId="0" fontId="5" fillId="0" borderId="17" xfId="1" applyFont="1" applyFill="1" applyBorder="1" applyAlignment="1" applyProtection="1">
      <alignment horizontal="center" vertical="center"/>
    </xf>
    <xf numFmtId="0" fontId="5" fillId="0" borderId="15" xfId="1" applyFont="1" applyFill="1" applyBorder="1" applyAlignment="1" applyProtection="1">
      <alignment horizontal="center" vertical="center" wrapText="1"/>
    </xf>
    <xf numFmtId="0" fontId="5" fillId="0" borderId="16" xfId="1" applyFont="1" applyFill="1" applyBorder="1" applyAlignment="1" applyProtection="1">
      <alignment horizontal="center" vertical="center" wrapText="1"/>
    </xf>
    <xf numFmtId="0" fontId="5" fillId="0" borderId="17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20" xfId="1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top" wrapText="1"/>
    </xf>
    <xf numFmtId="0" fontId="5" fillId="0" borderId="13" xfId="0" applyFont="1" applyFill="1" applyBorder="1" applyAlignment="1" applyProtection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40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39" xfId="1" applyFont="1" applyFill="1" applyBorder="1" applyAlignment="1">
      <alignment horizontal="center" vertical="center" wrapText="1"/>
    </xf>
    <xf numFmtId="49" fontId="5" fillId="0" borderId="11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69" xfId="1" applyFont="1" applyFill="1" applyBorder="1" applyAlignment="1">
      <alignment horizontal="center" vertical="center" wrapText="1"/>
    </xf>
    <xf numFmtId="0" fontId="5" fillId="0" borderId="65" xfId="1" applyFont="1" applyFill="1" applyBorder="1" applyAlignment="1">
      <alignment horizontal="center" vertical="center" wrapText="1"/>
    </xf>
    <xf numFmtId="0" fontId="5" fillId="0" borderId="61" xfId="1" applyFont="1" applyFill="1" applyBorder="1" applyAlignment="1">
      <alignment horizontal="center" vertical="center" wrapText="1"/>
    </xf>
    <xf numFmtId="0" fontId="5" fillId="0" borderId="59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wrapText="1"/>
    </xf>
    <xf numFmtId="0" fontId="5" fillId="0" borderId="50" xfId="1" applyFont="1" applyFill="1" applyBorder="1" applyAlignment="1">
      <alignment horizontal="center" vertical="center" wrapText="1"/>
    </xf>
    <xf numFmtId="170" fontId="5" fillId="0" borderId="0" xfId="0" applyNumberFormat="1" applyFont="1" applyBorder="1"/>
    <xf numFmtId="0" fontId="8" fillId="0" borderId="0" xfId="0" applyFont="1" applyBorder="1" applyProtection="1"/>
    <xf numFmtId="0" fontId="13" fillId="0" borderId="0" xfId="0" applyFont="1" applyBorder="1" applyProtection="1"/>
    <xf numFmtId="0" fontId="4" fillId="0" borderId="0" xfId="0" applyFont="1" applyProtection="1">
      <protection locked="0"/>
    </xf>
    <xf numFmtId="170" fontId="4" fillId="0" borderId="0" xfId="0" applyNumberFormat="1" applyFont="1" applyFill="1" applyBorder="1" applyProtection="1">
      <protection locked="0"/>
    </xf>
    <xf numFmtId="0" fontId="0" fillId="0" borderId="0" xfId="0" applyFill="1" applyBorder="1"/>
    <xf numFmtId="0" fontId="1" fillId="0" borderId="0" xfId="1" applyFill="1" applyBorder="1"/>
    <xf numFmtId="170" fontId="4" fillId="0" borderId="19" xfId="0" applyNumberFormat="1" applyFont="1" applyFill="1" applyBorder="1" applyProtection="1">
      <protection locked="0"/>
    </xf>
    <xf numFmtId="170" fontId="4" fillId="0" borderId="7" xfId="0" applyNumberFormat="1" applyFont="1" applyFill="1" applyBorder="1" applyProtection="1">
      <protection locked="0"/>
    </xf>
    <xf numFmtId="170" fontId="4" fillId="0" borderId="2" xfId="0" applyNumberFormat="1" applyFont="1" applyFill="1" applyBorder="1" applyProtection="1">
      <protection locked="0"/>
    </xf>
    <xf numFmtId="170" fontId="4" fillId="0" borderId="24" xfId="0" applyNumberFormat="1" applyFont="1" applyFill="1" applyBorder="1" applyProtection="1">
      <protection locked="0"/>
    </xf>
    <xf numFmtId="170" fontId="5" fillId="0" borderId="7" xfId="0" applyNumberFormat="1" applyFont="1" applyFill="1" applyBorder="1"/>
    <xf numFmtId="170" fontId="5" fillId="3" borderId="2" xfId="0" applyNumberFormat="1" applyFont="1" applyFill="1" applyBorder="1" applyProtection="1">
      <protection locked="0"/>
    </xf>
    <xf numFmtId="170" fontId="5" fillId="3" borderId="7" xfId="0" applyNumberFormat="1" applyFont="1" applyFill="1" applyBorder="1" applyProtection="1">
      <protection locked="0"/>
    </xf>
    <xf numFmtId="170" fontId="5" fillId="3" borderId="24" xfId="0" applyNumberFormat="1" applyFont="1" applyFill="1" applyBorder="1" applyProtection="1">
      <protection locked="0"/>
    </xf>
    <xf numFmtId="0" fontId="4" fillId="0" borderId="3" xfId="0" applyFont="1" applyBorder="1" applyAlignment="1">
      <alignment horizontal="left" indent="1"/>
    </xf>
    <xf numFmtId="170" fontId="5" fillId="0" borderId="13" xfId="0" applyNumberFormat="1" applyFont="1" applyFill="1" applyBorder="1"/>
    <xf numFmtId="170" fontId="5" fillId="0" borderId="8" xfId="0" applyNumberFormat="1" applyFont="1" applyFill="1" applyBorder="1"/>
    <xf numFmtId="170" fontId="5" fillId="0" borderId="39" xfId="0" applyNumberFormat="1" applyFont="1" applyFill="1" applyBorder="1"/>
    <xf numFmtId="0" fontId="4" fillId="0" borderId="0" xfId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/>
    </xf>
    <xf numFmtId="170" fontId="4" fillId="0" borderId="22" xfId="0" applyNumberFormat="1" applyFont="1" applyFill="1" applyBorder="1"/>
    <xf numFmtId="0" fontId="5" fillId="0" borderId="37" xfId="0" applyNumberFormat="1" applyFont="1" applyBorder="1"/>
    <xf numFmtId="0" fontId="4" fillId="0" borderId="35" xfId="0" applyNumberFormat="1" applyFont="1" applyFill="1" applyBorder="1" applyAlignment="1">
      <alignment horizontal="center"/>
    </xf>
    <xf numFmtId="0" fontId="5" fillId="0" borderId="3" xfId="0" applyNumberFormat="1" applyFont="1" applyBorder="1"/>
    <xf numFmtId="0" fontId="4" fillId="0" borderId="13" xfId="0" applyNumberFormat="1" applyFont="1" applyFill="1" applyBorder="1" applyAlignment="1">
      <alignment horizontal="center"/>
    </xf>
    <xf numFmtId="170" fontId="5" fillId="0" borderId="9" xfId="0" applyNumberFormat="1" applyFont="1" applyFill="1" applyBorder="1"/>
    <xf numFmtId="170" fontId="5" fillId="0" borderId="3" xfId="0" applyNumberFormat="1" applyFont="1" applyFill="1" applyBorder="1"/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/>
    </xf>
    <xf numFmtId="170" fontId="5" fillId="0" borderId="20" xfId="0" applyNumberFormat="1" applyFont="1" applyBorder="1" applyAlignment="1"/>
    <xf numFmtId="170" fontId="5" fillId="0" borderId="6" xfId="0" applyNumberFormat="1" applyFont="1" applyBorder="1" applyAlignment="1"/>
    <xf numFmtId="170" fontId="5" fillId="0" borderId="11" xfId="0" applyNumberFormat="1" applyFont="1" applyBorder="1" applyAlignment="1"/>
    <xf numFmtId="170" fontId="5" fillId="0" borderId="5" xfId="0" applyNumberFormat="1" applyFont="1" applyBorder="1" applyAlignment="1"/>
    <xf numFmtId="170" fontId="5" fillId="0" borderId="22" xfId="0" applyNumberFormat="1" applyFont="1" applyBorder="1" applyAlignment="1"/>
    <xf numFmtId="170" fontId="5" fillId="0" borderId="19" xfId="0" applyNumberFormat="1" applyFont="1" applyBorder="1" applyAlignment="1"/>
    <xf numFmtId="170" fontId="5" fillId="0" borderId="7" xfId="0" applyNumberFormat="1" applyFont="1" applyBorder="1" applyAlignment="1"/>
    <xf numFmtId="170" fontId="5" fillId="0" borderId="2" xfId="0" applyNumberFormat="1" applyFont="1" applyBorder="1" applyAlignment="1"/>
    <xf numFmtId="170" fontId="5" fillId="0" borderId="0" xfId="0" applyNumberFormat="1" applyFont="1" applyBorder="1" applyAlignment="1"/>
    <xf numFmtId="170" fontId="5" fillId="0" borderId="24" xfId="0" applyNumberFormat="1" applyFont="1" applyBorder="1" applyAlignment="1"/>
    <xf numFmtId="0" fontId="5" fillId="0" borderId="2" xfId="0" applyNumberFormat="1" applyFont="1" applyBorder="1" applyAlignment="1">
      <alignment horizontal="left" indent="1"/>
    </xf>
    <xf numFmtId="170" fontId="4" fillId="3" borderId="23" xfId="0" applyNumberFormat="1" applyFont="1" applyFill="1" applyBorder="1" applyAlignment="1" applyProtection="1">
      <protection locked="0"/>
    </xf>
    <xf numFmtId="170" fontId="4" fillId="3" borderId="26" xfId="0" applyNumberFormat="1" applyFont="1" applyFill="1" applyBorder="1" applyAlignment="1" applyProtection="1">
      <protection locked="0"/>
    </xf>
    <xf numFmtId="170" fontId="4" fillId="3" borderId="27" xfId="0" applyNumberFormat="1" applyFont="1" applyFill="1" applyBorder="1" applyAlignment="1" applyProtection="1">
      <protection locked="0"/>
    </xf>
    <xf numFmtId="170" fontId="4" fillId="3" borderId="28" xfId="0" applyNumberFormat="1" applyFont="1" applyFill="1" applyBorder="1" applyAlignment="1" applyProtection="1">
      <protection locked="0"/>
    </xf>
    <xf numFmtId="0" fontId="4" fillId="3" borderId="2" xfId="0" applyNumberFormat="1" applyFont="1" applyFill="1" applyBorder="1" applyAlignment="1" applyProtection="1">
      <alignment horizontal="left" indent="2"/>
      <protection locked="0"/>
    </xf>
    <xf numFmtId="170" fontId="4" fillId="3" borderId="19" xfId="0" applyNumberFormat="1" applyFont="1" applyFill="1" applyBorder="1" applyAlignment="1" applyProtection="1">
      <protection locked="0"/>
    </xf>
    <xf numFmtId="170" fontId="4" fillId="3" borderId="7" xfId="0" applyNumberFormat="1" applyFont="1" applyFill="1" applyBorder="1" applyAlignment="1" applyProtection="1">
      <protection locked="0"/>
    </xf>
    <xf numFmtId="170" fontId="4" fillId="3" borderId="2" xfId="0" applyNumberFormat="1" applyFont="1" applyFill="1" applyBorder="1" applyAlignment="1" applyProtection="1">
      <protection locked="0"/>
    </xf>
    <xf numFmtId="170" fontId="4" fillId="3" borderId="24" xfId="0" applyNumberFormat="1" applyFont="1" applyFill="1" applyBorder="1" applyAlignment="1" applyProtection="1">
      <protection locked="0"/>
    </xf>
    <xf numFmtId="170" fontId="4" fillId="3" borderId="0" xfId="0" applyNumberFormat="1" applyFont="1" applyFill="1" applyBorder="1" applyAlignment="1" applyProtection="1">
      <protection locked="0"/>
    </xf>
    <xf numFmtId="170" fontId="4" fillId="3" borderId="45" xfId="0" applyNumberFormat="1" applyFont="1" applyFill="1" applyBorder="1" applyAlignment="1" applyProtection="1">
      <protection locked="0"/>
    </xf>
    <xf numFmtId="170" fontId="4" fillId="3" borderId="46" xfId="0" applyNumberFormat="1" applyFont="1" applyFill="1" applyBorder="1" applyAlignment="1" applyProtection="1">
      <protection locked="0"/>
    </xf>
    <xf numFmtId="170" fontId="4" fillId="3" borderId="42" xfId="0" applyNumberFormat="1" applyFont="1" applyFill="1" applyBorder="1" applyAlignment="1" applyProtection="1">
      <protection locked="0"/>
    </xf>
    <xf numFmtId="170" fontId="4" fillId="3" borderId="44" xfId="0" applyNumberFormat="1" applyFont="1" applyFill="1" applyBorder="1" applyAlignment="1" applyProtection="1">
      <protection locked="0"/>
    </xf>
    <xf numFmtId="170" fontId="4" fillId="3" borderId="25" xfId="0" applyNumberFormat="1" applyFont="1" applyFill="1" applyBorder="1" applyAlignment="1" applyProtection="1">
      <protection locked="0"/>
    </xf>
    <xf numFmtId="170" fontId="4" fillId="3" borderId="61" xfId="0" applyNumberFormat="1" applyFont="1" applyFill="1" applyBorder="1" applyAlignment="1" applyProtection="1">
      <protection locked="0"/>
    </xf>
    <xf numFmtId="170" fontId="4" fillId="3" borderId="47" xfId="0" applyNumberFormat="1" applyFont="1" applyFill="1" applyBorder="1" applyAlignment="1" applyProtection="1">
      <protection locked="0"/>
    </xf>
    <xf numFmtId="0" fontId="8" fillId="3" borderId="2" xfId="0" applyNumberFormat="1" applyFont="1" applyFill="1" applyBorder="1" applyAlignment="1" applyProtection="1">
      <alignment horizontal="left" indent="2"/>
      <protection locked="0"/>
    </xf>
    <xf numFmtId="0" fontId="5" fillId="0" borderId="37" xfId="0" applyNumberFormat="1" applyFont="1" applyBorder="1" applyAlignment="1">
      <alignment vertical="center"/>
    </xf>
    <xf numFmtId="0" fontId="4" fillId="0" borderId="35" xfId="0" applyNumberFormat="1" applyFont="1" applyBorder="1" applyAlignment="1">
      <alignment horizontal="center" vertical="center"/>
    </xf>
    <xf numFmtId="170" fontId="5" fillId="0" borderId="35" xfId="0" applyNumberFormat="1" applyFont="1" applyBorder="1" applyAlignment="1">
      <alignment vertical="center"/>
    </xf>
    <xf numFmtId="170" fontId="5" fillId="0" borderId="36" xfId="0" applyNumberFormat="1" applyFont="1" applyBorder="1" applyAlignment="1">
      <alignment vertical="center"/>
    </xf>
    <xf numFmtId="170" fontId="5" fillId="0" borderId="37" xfId="0" applyNumberFormat="1" applyFont="1" applyBorder="1" applyAlignment="1">
      <alignment vertical="center"/>
    </xf>
    <xf numFmtId="170" fontId="5" fillId="0" borderId="34" xfId="0" applyNumberFormat="1" applyFont="1" applyBorder="1" applyAlignment="1">
      <alignment vertical="center"/>
    </xf>
    <xf numFmtId="170" fontId="5" fillId="0" borderId="38" xfId="0" applyNumberFormat="1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70" fontId="4" fillId="0" borderId="19" xfId="0" applyNumberFormat="1" applyFont="1" applyBorder="1" applyAlignment="1"/>
    <xf numFmtId="170" fontId="4" fillId="0" borderId="7" xfId="0" applyNumberFormat="1" applyFont="1" applyBorder="1" applyAlignment="1"/>
    <xf numFmtId="170" fontId="4" fillId="0" borderId="2" xfId="0" applyNumberFormat="1" applyFont="1" applyBorder="1" applyAlignment="1"/>
    <xf numFmtId="170" fontId="4" fillId="0" borderId="0" xfId="0" applyNumberFormat="1" applyFont="1" applyBorder="1" applyAlignment="1"/>
    <xf numFmtId="170" fontId="4" fillId="0" borderId="24" xfId="0" applyNumberFormat="1" applyFont="1" applyBorder="1" applyAlignment="1"/>
    <xf numFmtId="0" fontId="5" fillId="0" borderId="2" xfId="0" quotePrefix="1" applyNumberFormat="1" applyFont="1" applyBorder="1" applyAlignment="1">
      <alignment horizontal="left" indent="1"/>
    </xf>
    <xf numFmtId="0" fontId="4" fillId="3" borderId="2" xfId="0" applyNumberFormat="1" applyFont="1" applyFill="1" applyBorder="1" applyAlignment="1" applyProtection="1">
      <alignment horizontal="left" wrapText="1" indent="2"/>
      <protection locked="0"/>
    </xf>
    <xf numFmtId="170" fontId="4" fillId="3" borderId="35" xfId="0" applyNumberFormat="1" applyFont="1" applyFill="1" applyBorder="1" applyAlignment="1" applyProtection="1">
      <protection locked="0"/>
    </xf>
    <xf numFmtId="170" fontId="4" fillId="3" borderId="36" xfId="0" applyNumberFormat="1" applyFont="1" applyFill="1" applyBorder="1" applyAlignment="1" applyProtection="1">
      <protection locked="0"/>
    </xf>
    <xf numFmtId="170" fontId="4" fillId="3" borderId="37" xfId="0" applyNumberFormat="1" applyFont="1" applyFill="1" applyBorder="1" applyAlignment="1" applyProtection="1">
      <protection locked="0"/>
    </xf>
    <xf numFmtId="170" fontId="4" fillId="3" borderId="34" xfId="0" applyNumberFormat="1" applyFont="1" applyFill="1" applyBorder="1" applyAlignment="1" applyProtection="1">
      <protection locked="0"/>
    </xf>
    <xf numFmtId="170" fontId="4" fillId="3" borderId="38" xfId="0" applyNumberFormat="1" applyFont="1" applyFill="1" applyBorder="1" applyAlignment="1" applyProtection="1">
      <protection locked="0"/>
    </xf>
    <xf numFmtId="0" fontId="5" fillId="0" borderId="27" xfId="0" applyNumberFormat="1" applyFont="1" applyBorder="1" applyAlignment="1">
      <alignment horizontal="left"/>
    </xf>
    <xf numFmtId="0" fontId="4" fillId="0" borderId="2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vertical="center"/>
    </xf>
    <xf numFmtId="0" fontId="4" fillId="0" borderId="30" xfId="0" applyNumberFormat="1" applyFont="1" applyBorder="1" applyAlignment="1">
      <alignment horizontal="center" vertical="center"/>
    </xf>
    <xf numFmtId="170" fontId="5" fillId="0" borderId="30" xfId="0" applyNumberFormat="1" applyFont="1" applyBorder="1" applyAlignment="1">
      <alignment vertical="center"/>
    </xf>
    <xf numFmtId="170" fontId="5" fillId="0" borderId="32" xfId="0" applyNumberFormat="1" applyFont="1" applyBorder="1" applyAlignment="1">
      <alignment vertical="center"/>
    </xf>
    <xf numFmtId="170" fontId="5" fillId="0" borderId="29" xfId="0" applyNumberFormat="1" applyFont="1" applyBorder="1" applyAlignment="1">
      <alignment vertical="center"/>
    </xf>
    <xf numFmtId="170" fontId="5" fillId="0" borderId="31" xfId="0" applyNumberFormat="1" applyFont="1" applyBorder="1" applyAlignment="1">
      <alignment vertical="center"/>
    </xf>
    <xf numFmtId="170" fontId="5" fillId="0" borderId="33" xfId="0" applyNumberFormat="1" applyFont="1" applyBorder="1" applyAlignment="1">
      <alignment vertical="center"/>
    </xf>
    <xf numFmtId="0" fontId="4" fillId="0" borderId="0" xfId="0" applyFont="1" applyFill="1" applyProtection="1">
      <protection locked="0"/>
    </xf>
    <xf numFmtId="0" fontId="4" fillId="0" borderId="2" xfId="0" applyNumberFormat="1" applyFont="1" applyBorder="1" applyAlignment="1">
      <alignment horizontal="left" indent="2"/>
    </xf>
    <xf numFmtId="170" fontId="4" fillId="3" borderId="28" xfId="0" applyNumberFormat="1" applyFont="1" applyFill="1" applyBorder="1" applyProtection="1">
      <protection locked="0"/>
    </xf>
    <xf numFmtId="0" fontId="5" fillId="0" borderId="58" xfId="0" applyNumberFormat="1" applyFont="1" applyBorder="1" applyAlignment="1">
      <alignment horizontal="left"/>
    </xf>
    <xf numFmtId="0" fontId="4" fillId="0" borderId="63" xfId="0" applyNumberFormat="1" applyFont="1" applyBorder="1" applyAlignment="1">
      <alignment horizontal="center" vertical="center"/>
    </xf>
  </cellXfs>
  <cellStyles count="5">
    <cellStyle name="Comma 2" xfId="2"/>
    <cellStyle name="Normal" xfId="0" builtinId="0"/>
    <cellStyle name="Normal 2" xfId="1"/>
    <cellStyle name="Percent 10 2" xfId="4"/>
    <cellStyle name="Percent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C106_A_Schedule_2012_13_draf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C106_A_Schedule_2012_13_fina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</sheetNames>
    <sheetDataSet>
      <sheetData sheetId="0" refreshError="1"/>
      <sheetData sheetId="1" refreshError="1"/>
      <sheetData sheetId="2" refreshError="1">
        <row r="2">
          <cell r="B2" t="str">
            <v>2010/11</v>
          </cell>
        </row>
        <row r="3">
          <cell r="B3" t="str">
            <v>2009/10</v>
          </cell>
        </row>
        <row r="4">
          <cell r="B4" t="str">
            <v>2008/9</v>
          </cell>
        </row>
        <row r="5">
          <cell r="B5" t="str">
            <v>Current Year 2011/12</v>
          </cell>
        </row>
        <row r="7">
          <cell r="B7" t="str">
            <v>2012/13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2012/13</v>
          </cell>
        </row>
        <row r="16">
          <cell r="B16" t="str">
            <v>Budget Year +1 2013/14</v>
          </cell>
        </row>
        <row r="17">
          <cell r="B17" t="str">
            <v>Budget Year +2 2014/15</v>
          </cell>
        </row>
        <row r="18">
          <cell r="B18" t="str">
            <v>Forecast 2015/16</v>
          </cell>
        </row>
        <row r="19">
          <cell r="B19" t="str">
            <v>Forecast 2016/17</v>
          </cell>
        </row>
        <row r="20">
          <cell r="B20" t="str">
            <v>Forecast 2017/18</v>
          </cell>
        </row>
        <row r="21">
          <cell r="B21" t="str">
            <v>Forecast 2018/19</v>
          </cell>
        </row>
        <row r="22">
          <cell r="B22" t="str">
            <v>Forecast 2019/20</v>
          </cell>
        </row>
        <row r="23">
          <cell r="B23" t="str">
            <v>Forecast 2020/21</v>
          </cell>
        </row>
        <row r="24">
          <cell r="B24" t="str">
            <v>Forecast 2021/22</v>
          </cell>
        </row>
        <row r="25">
          <cell r="B25" t="str">
            <v>Forecast 2022/23</v>
          </cell>
        </row>
        <row r="26">
          <cell r="B26" t="str">
            <v>Forecast 2023/24</v>
          </cell>
        </row>
        <row r="27">
          <cell r="B27" t="str">
            <v>Forecast 2024/25</v>
          </cell>
        </row>
        <row r="28">
          <cell r="B28" t="str">
            <v>Forecast 2025/26</v>
          </cell>
        </row>
        <row r="29">
          <cell r="B29" t="str">
            <v>Forecast 2026/27</v>
          </cell>
        </row>
        <row r="30">
          <cell r="B30" t="str">
            <v>Description</v>
          </cell>
        </row>
        <row r="32">
          <cell r="B32" t="str">
            <v>Vote 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93">
          <cell r="B93" t="str">
            <v>EC106 Sundays River Valley</v>
          </cell>
        </row>
        <row r="100">
          <cell r="B100" t="str">
            <v>Table A1 Budget Summary</v>
          </cell>
        </row>
        <row r="101">
          <cell r="B101" t="str">
            <v>Table A2 Budgeted Financial Performance (revenue and expenditure by standard classification)</v>
          </cell>
        </row>
        <row r="102">
          <cell r="B102" t="str">
            <v>Table A3 Budgeted Financial Performance (revenue and expenditure by municipal vote)</v>
          </cell>
        </row>
        <row r="103">
          <cell r="B103" t="str">
            <v>Table A4 Budgeted Financial Performance (revenue and expenditure)</v>
          </cell>
        </row>
        <row r="105">
          <cell r="B105" t="str">
            <v>Table A6 Budgeted Financial Position</v>
          </cell>
        </row>
        <row r="112">
          <cell r="B112" t="str">
            <v>Supporting Table SA2 Matrix Financial Performance Budget (revenue source/expenditure type and dept.)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</sheetNames>
    <sheetDataSet>
      <sheetData sheetId="0"/>
      <sheetData sheetId="1"/>
      <sheetData sheetId="2">
        <row r="106">
          <cell r="B106" t="str">
            <v>Table A7 Budgeted Cash Flows</v>
          </cell>
        </row>
        <row r="107">
          <cell r="B107" t="str">
            <v>Table A8 Cash backed reserves/accumulated surplus reconciliation</v>
          </cell>
        </row>
        <row r="129">
          <cell r="B129" t="str">
            <v>Supporting Table SA18 Transfers and grant receipts</v>
          </cell>
        </row>
        <row r="130">
          <cell r="B130" t="str">
            <v>Supporting Table SA19 Expenditure on transfers and grant programme</v>
          </cell>
        </row>
      </sheetData>
      <sheetData sheetId="3">
        <row r="2">
          <cell r="Z2" t="str">
            <v>Local Government Equitable Share</v>
          </cell>
          <cell r="AA2" t="str">
            <v>Health subsidy</v>
          </cell>
          <cell r="AB2" t="str">
            <v xml:space="preserve"> Municipal Infrastructure Grant (MIG)</v>
          </cell>
        </row>
        <row r="3">
          <cell r="Z3" t="str">
            <v xml:space="preserve">RSC Levy Replacement </v>
          </cell>
          <cell r="AA3" t="str">
            <v>Ambulance subsidy</v>
          </cell>
          <cell r="AB3" t="str">
            <v xml:space="preserve"> Public Transport and Systems</v>
          </cell>
        </row>
        <row r="4">
          <cell r="Z4" t="str">
            <v xml:space="preserve">Finance Management </v>
          </cell>
          <cell r="AA4" t="str">
            <v>Housing</v>
          </cell>
          <cell r="AB4" t="str">
            <v>Rural Transport Services and Infrastructure</v>
          </cell>
        </row>
        <row r="5">
          <cell r="Z5" t="str">
            <v>Municipal Systems Improvement</v>
          </cell>
          <cell r="AA5" t="str">
            <v>Sport and Recreation</v>
          </cell>
          <cell r="AB5" t="str">
            <v>Regional Bulk Infrastructure</v>
          </cell>
        </row>
        <row r="6">
          <cell r="Z6" t="str">
            <v xml:space="preserve">Water Services Operating Subsidy </v>
          </cell>
          <cell r="AB6" t="str">
            <v xml:space="preserve">Rural Households Infrastructure </v>
          </cell>
        </row>
        <row r="7">
          <cell r="Z7" t="str">
            <v>Energy Efficiency  and Demand Management</v>
          </cell>
          <cell r="AB7" t="str">
            <v>Neighbourhood Development Partnership</v>
          </cell>
        </row>
        <row r="8">
          <cell r="Z8" t="str">
            <v>Integrated National Electrification Programme</v>
          </cell>
          <cell r="AB8" t="str">
            <v>2010 FIFA World Cup Stadiums Development</v>
          </cell>
        </row>
        <row r="9">
          <cell r="Z9" t="str">
            <v xml:space="preserve">Municipal Drought Relief </v>
          </cell>
        </row>
        <row r="10">
          <cell r="Z10" t="str">
            <v>2010 FIFA World Cup Operating</v>
          </cell>
        </row>
        <row r="11">
          <cell r="Z11" t="str">
            <v>Electricity Demand Side Management</v>
          </cell>
        </row>
        <row r="12">
          <cell r="Z12" t="str">
            <v>EPWP Incentive</v>
          </cell>
        </row>
      </sheetData>
      <sheetData sheetId="4"/>
      <sheetData sheetId="5"/>
      <sheetData sheetId="6"/>
      <sheetData sheetId="7"/>
      <sheetData sheetId="8">
        <row r="6">
          <cell r="C6">
            <v>367572</v>
          </cell>
          <cell r="D6">
            <v>0</v>
          </cell>
          <cell r="E6">
            <v>0</v>
          </cell>
          <cell r="F6">
            <v>1126100</v>
          </cell>
          <cell r="G6">
            <v>1126100</v>
          </cell>
          <cell r="H6">
            <v>1126100</v>
          </cell>
          <cell r="I6">
            <v>1993000</v>
          </cell>
          <cell r="J6">
            <v>2530000</v>
          </cell>
          <cell r="K6">
            <v>2977000</v>
          </cell>
        </row>
        <row r="9">
          <cell r="C9">
            <v>34080397</v>
          </cell>
          <cell r="D9">
            <v>39203077</v>
          </cell>
          <cell r="E9">
            <v>48864709</v>
          </cell>
          <cell r="F9">
            <v>40546195.909566939</v>
          </cell>
          <cell r="G9">
            <v>40546195.909566939</v>
          </cell>
          <cell r="H9">
            <v>40546195.909566939</v>
          </cell>
          <cell r="I9">
            <v>44299618.454841107</v>
          </cell>
          <cell r="J9">
            <v>47461243.976516239</v>
          </cell>
          <cell r="K9">
            <v>51180034.918436676</v>
          </cell>
        </row>
        <row r="10">
          <cell r="C10">
            <v>25739.78</v>
          </cell>
          <cell r="D10">
            <v>25971</v>
          </cell>
          <cell r="E10">
            <v>31552</v>
          </cell>
          <cell r="F10">
            <v>25208.639710560004</v>
          </cell>
          <cell r="G10">
            <v>25208.639710560004</v>
          </cell>
          <cell r="H10">
            <v>25208.639710560004</v>
          </cell>
          <cell r="I10">
            <v>27477.417284510408</v>
          </cell>
          <cell r="J10">
            <v>29675.610667271241</v>
          </cell>
          <cell r="K10">
            <v>32049.659520652942</v>
          </cell>
        </row>
        <row r="16">
          <cell r="C16">
            <v>174440.7</v>
          </cell>
          <cell r="D16">
            <v>246513</v>
          </cell>
          <cell r="E16">
            <v>655839</v>
          </cell>
          <cell r="F16">
            <v>99948.959999999992</v>
          </cell>
          <cell r="G16">
            <v>99948.959999999992</v>
          </cell>
          <cell r="H16">
            <v>99948.959999999992</v>
          </cell>
          <cell r="I16">
            <v>1265944.3663999999</v>
          </cell>
          <cell r="J16">
            <v>1274659.9157120001</v>
          </cell>
          <cell r="K16">
            <v>1284072.7089689602</v>
          </cell>
        </row>
        <row r="25">
          <cell r="C25">
            <v>8120</v>
          </cell>
          <cell r="D25">
            <v>9532</v>
          </cell>
          <cell r="E25">
            <v>229266</v>
          </cell>
          <cell r="F25">
            <v>6947.24</v>
          </cell>
          <cell r="G25">
            <v>6947.24</v>
          </cell>
          <cell r="H25">
            <v>6947.24</v>
          </cell>
          <cell r="I25">
            <v>7572.4916000000012</v>
          </cell>
          <cell r="J25">
            <v>8217.2741240000014</v>
          </cell>
          <cell r="K25">
            <v>8917.1477375600043</v>
          </cell>
        </row>
        <row r="26">
          <cell r="C26">
            <v>1702143</v>
          </cell>
          <cell r="D26">
            <v>3231103.7</v>
          </cell>
          <cell r="E26">
            <v>1453134</v>
          </cell>
          <cell r="F26">
            <v>1000000</v>
          </cell>
          <cell r="G26">
            <v>1375000</v>
          </cell>
          <cell r="H26">
            <v>1375000</v>
          </cell>
          <cell r="I26">
            <v>1060000</v>
          </cell>
          <cell r="J26">
            <v>1116180</v>
          </cell>
          <cell r="K26">
            <v>1170872.8199999998</v>
          </cell>
        </row>
        <row r="32">
          <cell r="C32">
            <v>114362631</v>
          </cell>
          <cell r="D32">
            <v>142787</v>
          </cell>
          <cell r="E32">
            <v>113781</v>
          </cell>
          <cell r="F32">
            <v>168111.76</v>
          </cell>
          <cell r="G32">
            <v>168111.76</v>
          </cell>
          <cell r="H32">
            <v>168111.76</v>
          </cell>
          <cell r="I32">
            <v>86886.080000000016</v>
          </cell>
          <cell r="J32">
            <v>93836.966400000019</v>
          </cell>
          <cell r="K32">
            <v>101343.92371200003</v>
          </cell>
        </row>
        <row r="33">
          <cell r="C33">
            <v>2039367</v>
          </cell>
          <cell r="D33">
            <v>2365956</v>
          </cell>
          <cell r="E33">
            <v>1090842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8">
          <cell r="C38">
            <v>222706.78</v>
          </cell>
          <cell r="D38">
            <v>890578</v>
          </cell>
          <cell r="E38">
            <v>901415</v>
          </cell>
          <cell r="F38">
            <v>995372.5</v>
          </cell>
          <cell r="G38">
            <v>995372.5</v>
          </cell>
          <cell r="H38">
            <v>995372.5</v>
          </cell>
          <cell r="I38">
            <v>2293299.75</v>
          </cell>
          <cell r="J38">
            <v>1360326.7250000001</v>
          </cell>
          <cell r="K38">
            <v>1440086.6775</v>
          </cell>
        </row>
        <row r="42">
          <cell r="C42">
            <v>4646173.58</v>
          </cell>
          <cell r="D42">
            <v>1772295</v>
          </cell>
          <cell r="E42">
            <v>2648984</v>
          </cell>
          <cell r="F42">
            <v>3727123.8710000003</v>
          </cell>
          <cell r="G42">
            <v>5727123.8710000003</v>
          </cell>
          <cell r="H42">
            <v>5727123.8710000003</v>
          </cell>
          <cell r="I42">
            <v>3830751.3032600004</v>
          </cell>
          <cell r="J42">
            <v>4033781.1223327797</v>
          </cell>
          <cell r="K42">
            <v>4231436.397327086</v>
          </cell>
        </row>
        <row r="48">
          <cell r="C48">
            <v>538654.81000000006</v>
          </cell>
          <cell r="D48">
            <v>742285</v>
          </cell>
          <cell r="E48">
            <v>1114563</v>
          </cell>
          <cell r="F48">
            <v>913851</v>
          </cell>
          <cell r="G48">
            <v>913851</v>
          </cell>
          <cell r="H48">
            <v>913851</v>
          </cell>
          <cell r="I48">
            <v>968703.06</v>
          </cell>
          <cell r="J48">
            <v>1020064.92318</v>
          </cell>
          <cell r="K48">
            <v>1070073.6496558201</v>
          </cell>
        </row>
        <row r="53">
          <cell r="C53">
            <v>6316449</v>
          </cell>
          <cell r="D53">
            <v>9880486</v>
          </cell>
          <cell r="E53">
            <v>12958647</v>
          </cell>
          <cell r="F53">
            <v>14867646.190384654</v>
          </cell>
          <cell r="G53">
            <v>17608812.190384656</v>
          </cell>
          <cell r="H53">
            <v>17608812.190384656</v>
          </cell>
          <cell r="I53">
            <v>19555955.270896658</v>
          </cell>
          <cell r="J53">
            <v>21707152.370695293</v>
          </cell>
          <cell r="K53">
            <v>23969240.532373112</v>
          </cell>
        </row>
        <row r="56">
          <cell r="C56">
            <v>13306137</v>
          </cell>
          <cell r="D56">
            <v>16531395</v>
          </cell>
          <cell r="E56">
            <v>31550931</v>
          </cell>
          <cell r="F56">
            <v>33820859.502999999</v>
          </cell>
          <cell r="G56">
            <v>50615818.502999999</v>
          </cell>
          <cell r="H56">
            <v>50615818.502999999</v>
          </cell>
          <cell r="I56">
            <v>56231448.858270004</v>
          </cell>
          <cell r="J56">
            <v>48224353.086931601</v>
          </cell>
          <cell r="K56">
            <v>44541643.173886135</v>
          </cell>
        </row>
        <row r="59">
          <cell r="C59">
            <v>12068503</v>
          </cell>
          <cell r="D59">
            <v>12449322</v>
          </cell>
          <cell r="E59">
            <v>9878495</v>
          </cell>
          <cell r="F59">
            <v>4484897.9000000004</v>
          </cell>
          <cell r="G59">
            <v>4618762.9000000004</v>
          </cell>
          <cell r="H59">
            <v>4618762.9000000004</v>
          </cell>
          <cell r="I59">
            <v>4918383.33</v>
          </cell>
          <cell r="J59">
            <v>5295290.8140000002</v>
          </cell>
          <cell r="K59">
            <v>5707504.1642399998</v>
          </cell>
        </row>
        <row r="63">
          <cell r="C63">
            <v>3764025</v>
          </cell>
          <cell r="D63">
            <v>3986797</v>
          </cell>
          <cell r="E63">
            <v>4570306</v>
          </cell>
          <cell r="F63">
            <v>9249571.7290000003</v>
          </cell>
          <cell r="G63">
            <v>9249571.7290000003</v>
          </cell>
          <cell r="H63">
            <v>9249571.7290000003</v>
          </cell>
          <cell r="I63">
            <v>10152753.384610001</v>
          </cell>
          <cell r="J63">
            <v>10925788.575378802</v>
          </cell>
          <cell r="K63">
            <v>11772740.117409106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75">
          <cell r="C75">
            <v>5196888.74</v>
          </cell>
          <cell r="D75">
            <v>6293788</v>
          </cell>
          <cell r="E75">
            <v>5232514</v>
          </cell>
          <cell r="F75">
            <v>8394049.8272161353</v>
          </cell>
          <cell r="G75">
            <v>8181926.8272161353</v>
          </cell>
          <cell r="H75">
            <v>8181926.8272161353</v>
          </cell>
          <cell r="I75">
            <v>11771334.336413689</v>
          </cell>
          <cell r="J75">
            <v>12495318.869234312</v>
          </cell>
          <cell r="K75">
            <v>13190978.211014271</v>
          </cell>
        </row>
        <row r="78">
          <cell r="C78">
            <v>31335416</v>
          </cell>
          <cell r="D78">
            <v>45186002</v>
          </cell>
          <cell r="E78">
            <v>42749131</v>
          </cell>
          <cell r="F78">
            <v>29152291.998077832</v>
          </cell>
          <cell r="G78">
            <v>40888291.998077832</v>
          </cell>
          <cell r="H78">
            <v>40888291.998077832</v>
          </cell>
          <cell r="I78">
            <v>35536741.838471167</v>
          </cell>
          <cell r="J78">
            <v>36277219.662210301</v>
          </cell>
          <cell r="K78">
            <v>37233684.964190625</v>
          </cell>
        </row>
        <row r="79">
          <cell r="C79">
            <v>2431781.17</v>
          </cell>
          <cell r="D79">
            <v>2696865</v>
          </cell>
          <cell r="E79">
            <v>2794957</v>
          </cell>
          <cell r="F79">
            <v>4948502.9901298005</v>
          </cell>
          <cell r="G79">
            <v>5272672.9901298005</v>
          </cell>
          <cell r="H79">
            <v>5272672.9901298005</v>
          </cell>
          <cell r="I79">
            <v>6446982.2812327202</v>
          </cell>
          <cell r="J79">
            <v>6746285.214755754</v>
          </cell>
          <cell r="K79">
            <v>7178956.3532163827</v>
          </cell>
        </row>
        <row r="85">
          <cell r="C85">
            <v>2435692.38</v>
          </cell>
          <cell r="D85">
            <v>1947078</v>
          </cell>
          <cell r="E85">
            <v>1380540</v>
          </cell>
          <cell r="F85">
            <v>2607019.7374877599</v>
          </cell>
          <cell r="G85">
            <v>2584717.7374877599</v>
          </cell>
          <cell r="H85">
            <v>2584717.7374877599</v>
          </cell>
          <cell r="I85">
            <v>3085682.8990515685</v>
          </cell>
          <cell r="J85">
            <v>3279225.301556557</v>
          </cell>
          <cell r="K85">
            <v>3482950.5175430803</v>
          </cell>
        </row>
        <row r="94">
          <cell r="C94">
            <v>948725</v>
          </cell>
          <cell r="D94">
            <v>854222</v>
          </cell>
          <cell r="E94">
            <v>1073390</v>
          </cell>
          <cell r="F94">
            <v>1127571.1218775022</v>
          </cell>
          <cell r="G94">
            <v>1121571.1218775022</v>
          </cell>
          <cell r="H94">
            <v>1121571.1218775022</v>
          </cell>
          <cell r="I94">
            <v>703122.04536509002</v>
          </cell>
          <cell r="J94">
            <v>742669.42721528001</v>
          </cell>
          <cell r="K94">
            <v>782861.24497432774</v>
          </cell>
        </row>
        <row r="95">
          <cell r="C95">
            <v>7198755.6699999999</v>
          </cell>
          <cell r="D95">
            <v>6036113</v>
          </cell>
          <cell r="E95">
            <v>5632750</v>
          </cell>
          <cell r="F95">
            <v>6511308.9683511304</v>
          </cell>
          <cell r="G95">
            <v>6662889.9683511304</v>
          </cell>
          <cell r="H95">
            <v>6662889.9683511304</v>
          </cell>
          <cell r="I95">
            <v>7264509.6327625923</v>
          </cell>
          <cell r="J95">
            <v>7646176.6958756298</v>
          </cell>
          <cell r="K95">
            <v>8090727.9444725914</v>
          </cell>
        </row>
        <row r="101">
          <cell r="C101">
            <v>114441051</v>
          </cell>
          <cell r="D101">
            <v>319310</v>
          </cell>
          <cell r="E101">
            <v>187002</v>
          </cell>
          <cell r="F101">
            <v>484712.356981672</v>
          </cell>
          <cell r="G101">
            <v>183696.356981672</v>
          </cell>
          <cell r="H101">
            <v>183696.356981672</v>
          </cell>
          <cell r="I101">
            <v>349030.12461814034</v>
          </cell>
          <cell r="J101">
            <v>369017.11614140181</v>
          </cell>
          <cell r="K101">
            <v>389578.19551086047</v>
          </cell>
        </row>
        <row r="102">
          <cell r="C102">
            <v>2161308</v>
          </cell>
          <cell r="D102">
            <v>1895053</v>
          </cell>
          <cell r="E102">
            <v>1127833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7">
          <cell r="C107">
            <v>3591429</v>
          </cell>
          <cell r="D107">
            <v>3892475</v>
          </cell>
          <cell r="E107">
            <v>3993771</v>
          </cell>
          <cell r="F107">
            <v>4762995.4357235981</v>
          </cell>
          <cell r="G107">
            <v>5408765.4357235981</v>
          </cell>
          <cell r="H107">
            <v>5408765.4357235981</v>
          </cell>
          <cell r="I107">
            <v>6137030</v>
          </cell>
          <cell r="J107">
            <v>6446768</v>
          </cell>
          <cell r="K107">
            <v>6810763</v>
          </cell>
        </row>
        <row r="111">
          <cell r="C111">
            <v>1939963.17</v>
          </cell>
          <cell r="D111">
            <v>1971656</v>
          </cell>
          <cell r="E111">
            <v>2140444</v>
          </cell>
          <cell r="F111">
            <v>4187264.1979464004</v>
          </cell>
          <cell r="G111">
            <v>3087264.1979464004</v>
          </cell>
          <cell r="H111">
            <v>3087264.1979464004</v>
          </cell>
          <cell r="I111">
            <v>5042186.3248621766</v>
          </cell>
          <cell r="J111">
            <v>5323707.9910962917</v>
          </cell>
          <cell r="K111">
            <v>5608365.7288387883</v>
          </cell>
        </row>
        <row r="117">
          <cell r="C117">
            <v>729021</v>
          </cell>
          <cell r="D117">
            <v>793632</v>
          </cell>
          <cell r="E117">
            <v>792306</v>
          </cell>
          <cell r="F117">
            <v>936770.07144720014</v>
          </cell>
          <cell r="G117">
            <v>936770.07144720014</v>
          </cell>
          <cell r="H117">
            <v>936770.07144720014</v>
          </cell>
          <cell r="I117">
            <v>1034929.6805700001</v>
          </cell>
          <cell r="J117">
            <v>1095063.9554342101</v>
          </cell>
          <cell r="K117">
            <v>1157522.0608102065</v>
          </cell>
        </row>
        <row r="122">
          <cell r="C122">
            <v>5732293.9699999997</v>
          </cell>
          <cell r="D122">
            <v>7528720</v>
          </cell>
          <cell r="E122">
            <v>9060614</v>
          </cell>
          <cell r="F122">
            <v>12239177.904077997</v>
          </cell>
          <cell r="G122">
            <v>12039177.904077997</v>
          </cell>
          <cell r="H122">
            <v>12039177.904077997</v>
          </cell>
          <cell r="I122">
            <v>14258231.235975929</v>
          </cell>
          <cell r="J122">
            <v>16021609.884985361</v>
          </cell>
          <cell r="K122">
            <v>17980886.927546728</v>
          </cell>
        </row>
        <row r="125">
          <cell r="C125">
            <v>5609142</v>
          </cell>
          <cell r="D125">
            <v>5849159</v>
          </cell>
          <cell r="E125">
            <v>6949678</v>
          </cell>
          <cell r="F125">
            <v>8193965.3857500693</v>
          </cell>
          <cell r="G125">
            <v>8435666.3857500702</v>
          </cell>
          <cell r="H125">
            <v>8435666.3857500702</v>
          </cell>
          <cell r="I125">
            <v>8504698.1513263788</v>
          </cell>
          <cell r="J125">
            <v>9068128.229786275</v>
          </cell>
          <cell r="K125">
            <v>9657931.895051498</v>
          </cell>
        </row>
        <row r="128">
          <cell r="C128">
            <v>2349618.96</v>
          </cell>
          <cell r="D128">
            <v>2233609</v>
          </cell>
          <cell r="E128">
            <v>2694608</v>
          </cell>
          <cell r="F128">
            <v>4480158.7518120036</v>
          </cell>
          <cell r="G128">
            <v>3580158.7518120036</v>
          </cell>
          <cell r="H128">
            <v>3580158.7518120036</v>
          </cell>
          <cell r="I128">
            <v>4734231.5494448803</v>
          </cell>
          <cell r="J128">
            <v>4983334.4252691353</v>
          </cell>
          <cell r="K128">
            <v>5254749.0133773386</v>
          </cell>
        </row>
        <row r="132">
          <cell r="C132">
            <v>3101649</v>
          </cell>
          <cell r="D132">
            <v>3511712</v>
          </cell>
          <cell r="E132">
            <v>3392887</v>
          </cell>
          <cell r="F132">
            <v>3064958.6482262416</v>
          </cell>
          <cell r="G132">
            <v>4064958.6482262416</v>
          </cell>
          <cell r="H132">
            <v>4064958.6482262416</v>
          </cell>
          <cell r="I132">
            <v>5433226.1193335531</v>
          </cell>
          <cell r="J132">
            <v>5737054.0996934092</v>
          </cell>
          <cell r="K132">
            <v>6044599.6325455522</v>
          </cell>
        </row>
        <row r="134"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</sheetData>
      <sheetData sheetId="9">
        <row r="5">
          <cell r="A5" t="str">
            <v>Vote 1 - Executive &amp; Council</v>
          </cell>
        </row>
        <row r="6">
          <cell r="A6" t="str">
            <v>Vote 2 - Finance &amp; Administration</v>
          </cell>
        </row>
        <row r="7">
          <cell r="A7" t="str">
            <v>Vote 3 - Planning &amp; Development</v>
          </cell>
        </row>
        <row r="8">
          <cell r="A8" t="str">
            <v>Vote 4 - Health</v>
          </cell>
        </row>
        <row r="9">
          <cell r="A9" t="str">
            <v>Vote 5 - Community and Social Services</v>
          </cell>
        </row>
        <row r="10">
          <cell r="A10" t="str">
            <v>Vote 6 - Public Safety</v>
          </cell>
        </row>
        <row r="11">
          <cell r="A11" t="str">
            <v>Vote 7 - Sport and Recreation</v>
          </cell>
        </row>
        <row r="12">
          <cell r="A12" t="str">
            <v>Vote 8 - Environmental Protection</v>
          </cell>
        </row>
        <row r="13">
          <cell r="A13" t="str">
            <v>Vote 9 - Roads &amp; Transport</v>
          </cell>
        </row>
        <row r="14">
          <cell r="A14" t="str">
            <v>Vote 10 - Housing Services</v>
          </cell>
        </row>
        <row r="15">
          <cell r="A15" t="str">
            <v>Vote 11 - Solid Waste</v>
          </cell>
        </row>
        <row r="16">
          <cell r="A16" t="str">
            <v>Vote 12 - Waste Water Management</v>
          </cell>
        </row>
        <row r="17">
          <cell r="A17" t="str">
            <v>Vote 13 - Electricity</v>
          </cell>
        </row>
        <row r="18">
          <cell r="A18" t="str">
            <v>Vote 14 - Water Service Authority</v>
          </cell>
        </row>
        <row r="19">
          <cell r="A19" t="str">
            <v>Vote 15 - [NAME OF VOTE 15]</v>
          </cell>
        </row>
      </sheetData>
      <sheetData sheetId="10">
        <row r="5">
          <cell r="A5" t="str">
            <v>Vote 1 - Executive &amp; Council</v>
          </cell>
          <cell r="C5">
            <v>367572</v>
          </cell>
          <cell r="D5">
            <v>0</v>
          </cell>
          <cell r="E5">
            <v>0</v>
          </cell>
          <cell r="F5">
            <v>1126100</v>
          </cell>
          <cell r="G5">
            <v>1126100</v>
          </cell>
          <cell r="H5">
            <v>1126100</v>
          </cell>
          <cell r="I5">
            <v>1993000</v>
          </cell>
          <cell r="J5">
            <v>2530000</v>
          </cell>
          <cell r="K5">
            <v>2977000</v>
          </cell>
        </row>
        <row r="16">
          <cell r="A16" t="str">
            <v>Vote 2 - Finance &amp; Administration</v>
          </cell>
          <cell r="C16">
            <v>34106136.780000001</v>
          </cell>
          <cell r="D16">
            <v>39229048</v>
          </cell>
          <cell r="E16">
            <v>49324286</v>
          </cell>
          <cell r="F16">
            <v>40571404.549277499</v>
          </cell>
          <cell r="G16">
            <v>40571404.549277499</v>
          </cell>
          <cell r="H16">
            <v>40571404.549277499</v>
          </cell>
          <cell r="I16">
            <v>44327095.872125618</v>
          </cell>
          <cell r="J16">
            <v>47490919.587183513</v>
          </cell>
          <cell r="K16">
            <v>51212084.577957332</v>
          </cell>
        </row>
        <row r="27">
          <cell r="A27" t="str">
            <v>Vote 3 - Planning &amp; Development</v>
          </cell>
          <cell r="C27">
            <v>222706.78</v>
          </cell>
          <cell r="D27">
            <v>890578</v>
          </cell>
          <cell r="E27">
            <v>901416</v>
          </cell>
          <cell r="F27">
            <v>995372.5</v>
          </cell>
          <cell r="G27">
            <v>995372.5</v>
          </cell>
          <cell r="H27">
            <v>995372.5</v>
          </cell>
          <cell r="I27">
            <v>2293299.75</v>
          </cell>
          <cell r="J27">
            <v>1360326.7250000001</v>
          </cell>
          <cell r="K27">
            <v>1440086.6775</v>
          </cell>
        </row>
        <row r="38">
          <cell r="A38" t="str">
            <v>Vote 4 - Health</v>
          </cell>
          <cell r="C38">
            <v>2039367</v>
          </cell>
          <cell r="D38">
            <v>2365956</v>
          </cell>
          <cell r="E38">
            <v>1090842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49">
          <cell r="A49" t="str">
            <v>Vote 5 - Community and Social Services</v>
          </cell>
          <cell r="C49">
            <v>174440.7</v>
          </cell>
          <cell r="D49">
            <v>246513</v>
          </cell>
          <cell r="E49">
            <v>90655</v>
          </cell>
          <cell r="F49">
            <v>99948.959999999992</v>
          </cell>
          <cell r="G49">
            <v>99948.959999999992</v>
          </cell>
          <cell r="H49">
            <v>99948.959999999992</v>
          </cell>
          <cell r="I49">
            <v>1265944.3663999999</v>
          </cell>
          <cell r="J49">
            <v>1274659.9157119999</v>
          </cell>
          <cell r="K49">
            <v>1284072.70896896</v>
          </cell>
        </row>
        <row r="60">
          <cell r="A60" t="str">
            <v>Vote 6 - Public Safety</v>
          </cell>
          <cell r="C60">
            <v>1702143</v>
          </cell>
          <cell r="D60">
            <v>3231103.7</v>
          </cell>
          <cell r="E60">
            <v>1453134</v>
          </cell>
          <cell r="F60">
            <v>1000000</v>
          </cell>
          <cell r="G60">
            <v>1375000</v>
          </cell>
          <cell r="H60">
            <v>1375000</v>
          </cell>
          <cell r="I60">
            <v>1060000</v>
          </cell>
          <cell r="J60">
            <v>1116180</v>
          </cell>
          <cell r="K60">
            <v>1170872.8199999998</v>
          </cell>
        </row>
        <row r="71">
          <cell r="A71" t="str">
            <v>Vote 7 - Sport and Recreation</v>
          </cell>
          <cell r="C71">
            <v>8120</v>
          </cell>
          <cell r="D71">
            <v>9533</v>
          </cell>
          <cell r="E71">
            <v>229266</v>
          </cell>
          <cell r="F71">
            <v>6947.24</v>
          </cell>
          <cell r="G71">
            <v>6947.24</v>
          </cell>
          <cell r="H71">
            <v>6947.24</v>
          </cell>
          <cell r="I71">
            <v>7572.4916000000012</v>
          </cell>
          <cell r="J71">
            <v>8217.2741240000014</v>
          </cell>
          <cell r="K71">
            <v>8917.1477375600043</v>
          </cell>
        </row>
        <row r="82">
          <cell r="A82" t="str">
            <v>Vote 8 - Environmental Protection</v>
          </cell>
          <cell r="C82">
            <v>538654.81000000006</v>
          </cell>
          <cell r="D82">
            <v>742285</v>
          </cell>
          <cell r="E82">
            <v>1114563</v>
          </cell>
          <cell r="F82">
            <v>913851</v>
          </cell>
          <cell r="G82">
            <v>913851</v>
          </cell>
          <cell r="H82">
            <v>913851</v>
          </cell>
          <cell r="I82">
            <v>968703.06</v>
          </cell>
          <cell r="J82">
            <v>1020064.92318</v>
          </cell>
          <cell r="K82">
            <v>1070073.6496558201</v>
          </cell>
        </row>
        <row r="93">
          <cell r="A93" t="str">
            <v>Vote 9 - Roads &amp; Transport</v>
          </cell>
          <cell r="C93">
            <v>4646173.58</v>
          </cell>
          <cell r="D93">
            <v>1772296</v>
          </cell>
          <cell r="E93">
            <v>2648984</v>
          </cell>
          <cell r="F93">
            <v>3727123.8710000003</v>
          </cell>
          <cell r="G93">
            <v>5727123.8710000003</v>
          </cell>
          <cell r="H93">
            <v>5727123.8710000003</v>
          </cell>
          <cell r="I93">
            <v>3830751.3032600004</v>
          </cell>
          <cell r="J93">
            <v>4033781.1223327797</v>
          </cell>
          <cell r="K93">
            <v>4231436.397327086</v>
          </cell>
        </row>
        <row r="104">
          <cell r="A104" t="str">
            <v>Vote 10 - Housing Services</v>
          </cell>
          <cell r="C104">
            <v>114362631</v>
          </cell>
          <cell r="D104">
            <v>142788</v>
          </cell>
          <cell r="E104">
            <v>113781</v>
          </cell>
          <cell r="F104">
            <v>168111.76</v>
          </cell>
          <cell r="G104">
            <v>168111.76</v>
          </cell>
          <cell r="H104">
            <v>168111.76</v>
          </cell>
          <cell r="I104">
            <v>86886.080000000016</v>
          </cell>
          <cell r="J104">
            <v>93836.966400000019</v>
          </cell>
          <cell r="K104">
            <v>101343.92371200003</v>
          </cell>
        </row>
        <row r="115">
          <cell r="A115" t="str">
            <v>Vote 11 - Solid Waste</v>
          </cell>
          <cell r="C115">
            <v>3764025</v>
          </cell>
          <cell r="D115">
            <v>3986797</v>
          </cell>
          <cell r="E115">
            <v>4570307</v>
          </cell>
          <cell r="F115">
            <v>9249571.7290000003</v>
          </cell>
          <cell r="G115">
            <v>9249571.7290000003</v>
          </cell>
          <cell r="H115">
            <v>9249571.7290000003</v>
          </cell>
          <cell r="I115">
            <v>10152753.384610001</v>
          </cell>
          <cell r="J115">
            <v>10925788.575378802</v>
          </cell>
          <cell r="K115">
            <v>11772740.117409106</v>
          </cell>
        </row>
        <row r="126">
          <cell r="A126" t="str">
            <v>Vote 12 - Waste Water Management</v>
          </cell>
          <cell r="C126">
            <v>12068503</v>
          </cell>
          <cell r="D126">
            <v>12449322</v>
          </cell>
          <cell r="E126">
            <v>10016922</v>
          </cell>
          <cell r="F126">
            <v>4484897.9000000004</v>
          </cell>
          <cell r="G126">
            <v>4618762.9000000004</v>
          </cell>
          <cell r="H126">
            <v>4618762.9000000004</v>
          </cell>
          <cell r="I126">
            <v>4918383.33</v>
          </cell>
          <cell r="J126">
            <v>5295290.8140000002</v>
          </cell>
          <cell r="K126">
            <v>5707504.1642399998</v>
          </cell>
        </row>
        <row r="137">
          <cell r="A137" t="str">
            <v>Vote 13 - Electricity</v>
          </cell>
          <cell r="C137">
            <v>6316449</v>
          </cell>
          <cell r="D137">
            <v>9880487</v>
          </cell>
          <cell r="E137">
            <v>12958647</v>
          </cell>
          <cell r="F137">
            <v>14867646.190384654</v>
          </cell>
          <cell r="G137">
            <v>17608812.190384656</v>
          </cell>
          <cell r="H137">
            <v>17608812.190384656</v>
          </cell>
          <cell r="I137">
            <v>19555955.270896658</v>
          </cell>
          <cell r="J137">
            <v>21707152.370695293</v>
          </cell>
          <cell r="K137">
            <v>23969240.532373112</v>
          </cell>
        </row>
        <row r="148">
          <cell r="A148" t="str">
            <v>Vote 14 - Water Service Authority</v>
          </cell>
          <cell r="C148">
            <v>13306136.82</v>
          </cell>
          <cell r="D148">
            <v>16531395</v>
          </cell>
          <cell r="E148">
            <v>31550930</v>
          </cell>
          <cell r="F148">
            <v>33820859.502999999</v>
          </cell>
          <cell r="G148">
            <v>50615818.502999999</v>
          </cell>
          <cell r="H148">
            <v>50615818.502999999</v>
          </cell>
          <cell r="I148">
            <v>56231448.858270004</v>
          </cell>
          <cell r="J148">
            <v>48224353.086931601</v>
          </cell>
          <cell r="K148">
            <v>44541643.173886135</v>
          </cell>
        </row>
        <row r="159">
          <cell r="A159" t="str">
            <v>Vote 15 - [NAME OF VOTE 15]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73">
          <cell r="A173" t="str">
            <v>Vote 1 - Executive &amp; Council</v>
          </cell>
          <cell r="C173">
            <v>5455976.6100000003</v>
          </cell>
          <cell r="D173">
            <v>6293788</v>
          </cell>
          <cell r="E173">
            <v>5561843</v>
          </cell>
          <cell r="F173">
            <v>8394049.8272161353</v>
          </cell>
          <cell r="G173">
            <v>8181926.8272161353</v>
          </cell>
          <cell r="H173">
            <v>8181926.8272161353</v>
          </cell>
          <cell r="I173">
            <v>11771334.322633691</v>
          </cell>
          <cell r="J173">
            <v>12495318.998812513</v>
          </cell>
          <cell r="K173">
            <v>13190978.211014271</v>
          </cell>
        </row>
        <row r="184">
          <cell r="A184" t="str">
            <v>Vote 2 - Finance &amp; Administration</v>
          </cell>
          <cell r="C184">
            <v>33767197.170000002</v>
          </cell>
          <cell r="D184">
            <v>47882869</v>
          </cell>
          <cell r="E184">
            <v>44495446</v>
          </cell>
          <cell r="F184">
            <v>34100794.988207631</v>
          </cell>
          <cell r="G184">
            <v>46160964.988207631</v>
          </cell>
          <cell r="H184">
            <v>46160964.988207631</v>
          </cell>
          <cell r="I184">
            <v>41983724.609066054</v>
          </cell>
          <cell r="J184">
            <v>43023504.9852577</v>
          </cell>
          <cell r="K184">
            <v>44412641.295826606</v>
          </cell>
        </row>
        <row r="195">
          <cell r="A195" t="str">
            <v>Vote 3 - Planning &amp; Development</v>
          </cell>
          <cell r="C195">
            <v>3332288</v>
          </cell>
          <cell r="D195">
            <v>3892474</v>
          </cell>
          <cell r="E195">
            <v>3664444</v>
          </cell>
          <cell r="F195">
            <v>4762995.4357235972</v>
          </cell>
          <cell r="G195">
            <v>5408765.4357235972</v>
          </cell>
          <cell r="H195">
            <v>5408765.4357235972</v>
          </cell>
          <cell r="I195">
            <v>6137030.2802410433</v>
          </cell>
          <cell r="J195">
            <v>6446767.7295002909</v>
          </cell>
          <cell r="K195">
            <v>6810763.0321000172</v>
          </cell>
        </row>
        <row r="206">
          <cell r="A206" t="str">
            <v>Vote 4 - Health</v>
          </cell>
          <cell r="C206">
            <v>2161308</v>
          </cell>
          <cell r="D206">
            <v>1895053</v>
          </cell>
          <cell r="E206">
            <v>1127833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17">
          <cell r="A217" t="str">
            <v>Vote 5 - Community and Social Services</v>
          </cell>
          <cell r="C217">
            <v>2435692.6</v>
          </cell>
          <cell r="D217">
            <v>1947079</v>
          </cell>
          <cell r="E217">
            <v>1945727</v>
          </cell>
          <cell r="F217">
            <v>2607019.7374877599</v>
          </cell>
          <cell r="G217">
            <v>2584717.7374877599</v>
          </cell>
          <cell r="H217">
            <v>2584717.7374877599</v>
          </cell>
          <cell r="I217">
            <v>3085682.181917266</v>
          </cell>
          <cell r="J217">
            <v>3279225.438940173</v>
          </cell>
          <cell r="K217">
            <v>3482950.8647347186</v>
          </cell>
        </row>
        <row r="228">
          <cell r="A228" t="str">
            <v>Vote 6 - Public Safety</v>
          </cell>
          <cell r="C228">
            <v>6857920.1200000001</v>
          </cell>
          <cell r="D228">
            <v>5705144</v>
          </cell>
          <cell r="E228">
            <v>5286400</v>
          </cell>
          <cell r="F228">
            <v>5986308.9683511304</v>
          </cell>
          <cell r="G228">
            <v>6137889.9683511304</v>
          </cell>
          <cell r="H228">
            <v>6137889.9683511304</v>
          </cell>
          <cell r="I228">
            <v>6693204.6327625923</v>
          </cell>
          <cell r="J228">
            <v>7026312.3458756302</v>
          </cell>
          <cell r="K228">
            <v>7418760.5616725916</v>
          </cell>
        </row>
        <row r="239">
          <cell r="A239" t="str">
            <v>Vote 7 - Sport and Recreation</v>
          </cell>
          <cell r="C239">
            <v>948725</v>
          </cell>
          <cell r="D239">
            <v>854219</v>
          </cell>
          <cell r="E239">
            <v>1073392</v>
          </cell>
          <cell r="F239">
            <v>1127571.1218775022</v>
          </cell>
          <cell r="G239">
            <v>1121571.1218775022</v>
          </cell>
          <cell r="H239">
            <v>1121571.1218775022</v>
          </cell>
          <cell r="I239">
            <v>703122.04536509002</v>
          </cell>
          <cell r="J239">
            <v>742669.42721527978</v>
          </cell>
          <cell r="K239">
            <v>782861.24497432762</v>
          </cell>
        </row>
        <row r="250">
          <cell r="A250" t="str">
            <v>Vote 8 - Environmental Protection</v>
          </cell>
          <cell r="C250">
            <v>729021</v>
          </cell>
          <cell r="D250">
            <v>793632</v>
          </cell>
          <cell r="E250">
            <v>792307</v>
          </cell>
          <cell r="F250">
            <v>936770.07144720014</v>
          </cell>
          <cell r="G250">
            <v>936770.07144720014</v>
          </cell>
          <cell r="H250">
            <v>936770.07144720014</v>
          </cell>
          <cell r="I250">
            <v>1034929.6805700001</v>
          </cell>
          <cell r="J250">
            <v>1095063.9554342101</v>
          </cell>
          <cell r="K250">
            <v>1157522.0608102065</v>
          </cell>
        </row>
        <row r="261">
          <cell r="A261" t="str">
            <v>Vote 9 - Roads &amp; Transport</v>
          </cell>
          <cell r="C261">
            <v>1939963.17</v>
          </cell>
          <cell r="D261">
            <v>1971656</v>
          </cell>
          <cell r="E261">
            <v>2140443</v>
          </cell>
          <cell r="F261">
            <v>4187264.1979464004</v>
          </cell>
          <cell r="G261">
            <v>3087264.1979464004</v>
          </cell>
          <cell r="H261">
            <v>3087264.1979464004</v>
          </cell>
          <cell r="I261">
            <v>5042186.3248621766</v>
          </cell>
          <cell r="J261">
            <v>5323707.9910962917</v>
          </cell>
          <cell r="K261">
            <v>5608365.7288387883</v>
          </cell>
        </row>
        <row r="272">
          <cell r="A272" t="str">
            <v>Vote 10 - Housing Services</v>
          </cell>
          <cell r="C272">
            <v>114441051</v>
          </cell>
          <cell r="D272">
            <v>319310</v>
          </cell>
          <cell r="E272">
            <v>187001</v>
          </cell>
          <cell r="F272">
            <v>484712.356981672</v>
          </cell>
          <cell r="G272">
            <v>183696.356981672</v>
          </cell>
          <cell r="H272">
            <v>183696.356981672</v>
          </cell>
          <cell r="I272">
            <v>349030.12461814034</v>
          </cell>
          <cell r="J272">
            <v>369017.11614140181</v>
          </cell>
          <cell r="K272">
            <v>389578.19551086047</v>
          </cell>
        </row>
        <row r="283">
          <cell r="A283" t="str">
            <v>Vote 11 - Solid Waste</v>
          </cell>
          <cell r="C283">
            <v>3101648.53</v>
          </cell>
          <cell r="D283">
            <v>3511712</v>
          </cell>
          <cell r="E283">
            <v>3635047</v>
          </cell>
          <cell r="F283">
            <v>3064958.6482262416</v>
          </cell>
          <cell r="G283">
            <v>4064958.6482262416</v>
          </cell>
          <cell r="H283">
            <v>4064958.6482262416</v>
          </cell>
          <cell r="I283">
            <v>5433226.1193335531</v>
          </cell>
          <cell r="J283">
            <v>5737054.0996934092</v>
          </cell>
          <cell r="K283">
            <v>6044599.6325455522</v>
          </cell>
        </row>
        <row r="294">
          <cell r="A294" t="str">
            <v>Vote 12 - Waste Water Management</v>
          </cell>
          <cell r="C294">
            <v>2350619.0100000002</v>
          </cell>
          <cell r="D294">
            <v>2233609</v>
          </cell>
          <cell r="E294">
            <v>2937166</v>
          </cell>
          <cell r="F294">
            <v>4480158.7518120036</v>
          </cell>
          <cell r="G294">
            <v>3580158.7518120036</v>
          </cell>
          <cell r="H294">
            <v>3580158.7518120036</v>
          </cell>
          <cell r="I294">
            <v>4734231.970040882</v>
          </cell>
          <cell r="J294">
            <v>4983334.3728687214</v>
          </cell>
          <cell r="K294">
            <v>5254749.1255438654</v>
          </cell>
        </row>
        <row r="305">
          <cell r="A305" t="str">
            <v>Vote 13 - Electricity</v>
          </cell>
          <cell r="C305">
            <v>6072609.0300000003</v>
          </cell>
          <cell r="D305">
            <v>7859689</v>
          </cell>
          <cell r="E305">
            <v>9406966</v>
          </cell>
          <cell r="F305">
            <v>12764177.904077997</v>
          </cell>
          <cell r="G305">
            <v>12564177.904077997</v>
          </cell>
          <cell r="H305">
            <v>12564177.904077997</v>
          </cell>
          <cell r="I305">
            <v>14829536.235975929</v>
          </cell>
          <cell r="J305">
            <v>16641474.234985361</v>
          </cell>
          <cell r="K305">
            <v>18652854.31034673</v>
          </cell>
        </row>
        <row r="316">
          <cell r="A316" t="str">
            <v>Vote 14 - Water Service Authority</v>
          </cell>
          <cell r="C316">
            <v>5609141.9999999991</v>
          </cell>
          <cell r="D316">
            <v>5849159</v>
          </cell>
          <cell r="E316">
            <v>6949680</v>
          </cell>
          <cell r="F316">
            <v>8193965.3857500693</v>
          </cell>
          <cell r="G316">
            <v>8435666.3857500684</v>
          </cell>
          <cell r="H316">
            <v>8435666.3857500684</v>
          </cell>
          <cell r="I316">
            <v>8504697.8230323754</v>
          </cell>
          <cell r="J316">
            <v>9068128.1822158322</v>
          </cell>
          <cell r="K316">
            <v>9657932.2117572855</v>
          </cell>
        </row>
        <row r="327">
          <cell r="A327" t="str">
            <v>Vote 15 - [NAME OF VOTE 15]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</sheetData>
      <sheetData sheetId="11">
        <row r="4">
          <cell r="A4" t="str">
            <v>Revenue By Source</v>
          </cell>
        </row>
        <row r="5">
          <cell r="A5" t="str">
            <v>Property rates</v>
          </cell>
          <cell r="C5">
            <v>6760512.5</v>
          </cell>
          <cell r="D5">
            <v>8801214.7899999991</v>
          </cell>
          <cell r="E5">
            <v>12413157</v>
          </cell>
          <cell r="F5">
            <v>14699717.059999999</v>
          </cell>
          <cell r="G5">
            <v>14699717.059999999</v>
          </cell>
          <cell r="H5">
            <v>14699717.059999999</v>
          </cell>
          <cell r="I5">
            <v>14699717.059999999</v>
          </cell>
          <cell r="J5">
            <v>16022691.595400002</v>
          </cell>
          <cell r="K5">
            <v>17304506.923032001</v>
          </cell>
          <cell r="L5">
            <v>18688867.47687456</v>
          </cell>
        </row>
        <row r="6">
          <cell r="A6" t="str">
            <v>Property rates - penalties &amp; collection charges</v>
          </cell>
          <cell r="C6">
            <v>14985.86</v>
          </cell>
          <cell r="F6">
            <v>19243.946799999998</v>
          </cell>
          <cell r="G6">
            <v>19243.946799999998</v>
          </cell>
          <cell r="H6">
            <v>19243.946799999998</v>
          </cell>
          <cell r="I6">
            <v>19243.946799999998</v>
          </cell>
          <cell r="J6">
            <v>23092.736159999997</v>
          </cell>
          <cell r="K6">
            <v>25632.937137599998</v>
          </cell>
          <cell r="L6">
            <v>28452.560222736</v>
          </cell>
        </row>
        <row r="7">
          <cell r="A7" t="str">
            <v>Service charges - electricity revenue</v>
          </cell>
          <cell r="C7">
            <v>6126789</v>
          </cell>
          <cell r="D7">
            <v>9744336.9100000001</v>
          </cell>
          <cell r="E7">
            <v>12752202</v>
          </cell>
          <cell r="F7">
            <v>11918118.5609928</v>
          </cell>
          <cell r="G7">
            <v>14659284.5609928</v>
          </cell>
          <cell r="H7">
            <v>14659284.5609928</v>
          </cell>
          <cell r="I7">
            <v>14659284.5609928</v>
          </cell>
          <cell r="J7">
            <v>16276204.135500001</v>
          </cell>
          <cell r="K7">
            <v>18066586.590405002</v>
          </cell>
          <cell r="L7">
            <v>19928164.756250888</v>
          </cell>
        </row>
        <row r="8">
          <cell r="A8" t="str">
            <v>Service charges - water revenue</v>
          </cell>
          <cell r="C8">
            <v>6242511</v>
          </cell>
          <cell r="D8">
            <v>6990394.7999999998</v>
          </cell>
          <cell r="E8">
            <v>14039527</v>
          </cell>
          <cell r="F8">
            <v>9936985.0800000001</v>
          </cell>
          <cell r="G8">
            <v>10731944.08</v>
          </cell>
          <cell r="H8">
            <v>10731944.08</v>
          </cell>
          <cell r="I8">
            <v>10731944.08</v>
          </cell>
          <cell r="J8">
            <v>10831313.737199999</v>
          </cell>
          <cell r="K8">
            <v>11697818.836176002</v>
          </cell>
          <cell r="L8">
            <v>12633644.343070082</v>
          </cell>
        </row>
        <row r="9">
          <cell r="A9" t="str">
            <v>Service charges - sanitation revenue</v>
          </cell>
          <cell r="C9">
            <v>1490599</v>
          </cell>
          <cell r="D9">
            <v>1484226.0899999999</v>
          </cell>
          <cell r="E9">
            <v>1653292.69</v>
          </cell>
          <cell r="F9">
            <v>2677300</v>
          </cell>
          <cell r="G9">
            <v>2810985</v>
          </cell>
          <cell r="H9">
            <v>2810985</v>
          </cell>
          <cell r="I9">
            <v>2810985</v>
          </cell>
          <cell r="J9">
            <v>2918257</v>
          </cell>
          <cell r="K9">
            <v>3151717.56</v>
          </cell>
          <cell r="L9">
            <v>3403854.9648000002</v>
          </cell>
        </row>
        <row r="10">
          <cell r="A10" t="str">
            <v>Service charges - refuse revenue</v>
          </cell>
          <cell r="C10">
            <v>3033219</v>
          </cell>
          <cell r="D10">
            <v>3254288.9699999997</v>
          </cell>
          <cell r="E10">
            <v>3529736.76</v>
          </cell>
          <cell r="F10">
            <v>5062334.9800000004</v>
          </cell>
          <cell r="G10">
            <v>5062334.9800000004</v>
          </cell>
          <cell r="H10">
            <v>5062334.9800000004</v>
          </cell>
          <cell r="I10">
            <v>5062334.9800000004</v>
          </cell>
          <cell r="J10">
            <v>5517945.1282000011</v>
          </cell>
          <cell r="K10">
            <v>5959380.7384560015</v>
          </cell>
          <cell r="L10">
            <v>6436131.1975324824</v>
          </cell>
        </row>
        <row r="11">
          <cell r="A11" t="str">
            <v>Service charges - other</v>
          </cell>
          <cell r="F11">
            <v>169290.48000000045</v>
          </cell>
          <cell r="G11">
            <v>169290.48000000045</v>
          </cell>
          <cell r="H11">
            <v>169290.48000000045</v>
          </cell>
          <cell r="I11">
            <v>169290.48000000045</v>
          </cell>
          <cell r="J11">
            <v>88170.884800000116</v>
          </cell>
          <cell r="K11">
            <v>95224.555583998561</v>
          </cell>
          <cell r="L11">
            <v>102842.52003072202</v>
          </cell>
        </row>
        <row r="12">
          <cell r="A12" t="str">
            <v>Rental of facilities and equipment</v>
          </cell>
          <cell r="C12">
            <v>61242.68</v>
          </cell>
          <cell r="D12">
            <v>61613.299999999996</v>
          </cell>
          <cell r="E12">
            <v>66415</v>
          </cell>
          <cell r="F12">
            <v>62730.899710560006</v>
          </cell>
          <cell r="G12">
            <v>62730.899710560006</v>
          </cell>
          <cell r="H12">
            <v>62730.899710560006</v>
          </cell>
          <cell r="I12">
            <v>62730.899710560006</v>
          </cell>
          <cell r="J12">
            <v>68530.405684510421</v>
          </cell>
          <cell r="K12">
            <v>74351.033139271254</v>
          </cell>
          <cell r="L12">
            <v>80671.130290412955</v>
          </cell>
        </row>
        <row r="13">
          <cell r="A13" t="str">
            <v>Interest earned - external investments</v>
          </cell>
          <cell r="C13">
            <v>1671460.2000000002</v>
          </cell>
          <cell r="D13">
            <v>233430.50000000047</v>
          </cell>
          <cell r="E13">
            <v>286863</v>
          </cell>
          <cell r="F13">
            <v>199892.193</v>
          </cell>
          <cell r="G13">
            <v>199892.193</v>
          </cell>
          <cell r="H13">
            <v>199892.193</v>
          </cell>
          <cell r="I13">
            <v>199892.193</v>
          </cell>
          <cell r="J13">
            <v>211885.72458000001</v>
          </cell>
          <cell r="K13">
            <v>223115.66798273998</v>
          </cell>
          <cell r="L13">
            <v>234048.33571389422</v>
          </cell>
        </row>
        <row r="14">
          <cell r="A14" t="str">
            <v>Interest earned - outstanding debtors</v>
          </cell>
          <cell r="C14">
            <v>3543009.33</v>
          </cell>
          <cell r="D14">
            <v>3357601.85</v>
          </cell>
          <cell r="E14">
            <v>5144596</v>
          </cell>
          <cell r="F14">
            <v>1859991.3639918559</v>
          </cell>
          <cell r="G14">
            <v>1859991.3639918559</v>
          </cell>
          <cell r="H14">
            <v>1859991.3639918559</v>
          </cell>
          <cell r="I14">
            <v>1859991.3639918559</v>
          </cell>
          <cell r="J14">
            <v>2032446.8319666579</v>
          </cell>
          <cell r="K14">
            <v>2203339.0549714901</v>
          </cell>
          <cell r="L14">
            <v>2388815.2682259344</v>
          </cell>
        </row>
        <row r="15">
          <cell r="A15" t="str">
            <v>Dividends received</v>
          </cell>
          <cell r="C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 t="str">
            <v>Fines</v>
          </cell>
          <cell r="C16">
            <v>1279521.3899999999</v>
          </cell>
          <cell r="D16">
            <v>3231103.7</v>
          </cell>
          <cell r="E16">
            <v>1454328</v>
          </cell>
          <cell r="F16">
            <v>1011580</v>
          </cell>
          <cell r="G16">
            <v>1011580</v>
          </cell>
          <cell r="H16">
            <v>1011580</v>
          </cell>
          <cell r="I16">
            <v>1011580</v>
          </cell>
          <cell r="J16">
            <v>1072798.2</v>
          </cell>
          <cell r="K16">
            <v>1130059.6560000002</v>
          </cell>
          <cell r="L16">
            <v>1185926.7844800001</v>
          </cell>
        </row>
        <row r="17">
          <cell r="A17" t="str">
            <v>Licences and permits</v>
          </cell>
          <cell r="C17">
            <v>4627842.8699999992</v>
          </cell>
          <cell r="D17">
            <v>1745995.8699999999</v>
          </cell>
          <cell r="E17">
            <v>2650420</v>
          </cell>
          <cell r="F17">
            <v>2614247.6780000003</v>
          </cell>
          <cell r="G17">
            <v>4614247.6780000003</v>
          </cell>
          <cell r="H17">
            <v>4614247.6780000003</v>
          </cell>
          <cell r="I17">
            <v>4614247.6780000003</v>
          </cell>
          <cell r="J17">
            <v>2651102.5386800002</v>
          </cell>
          <cell r="K17">
            <v>2791610.9732300397</v>
          </cell>
          <cell r="L17">
            <v>2928399.9109183117</v>
          </cell>
        </row>
        <row r="18">
          <cell r="A18" t="str">
            <v>Agency services</v>
          </cell>
          <cell r="C18">
            <v>0</v>
          </cell>
          <cell r="E18">
            <v>0</v>
          </cell>
          <cell r="F18">
            <v>1106679</v>
          </cell>
          <cell r="G18">
            <v>1106679</v>
          </cell>
          <cell r="H18">
            <v>1106679</v>
          </cell>
          <cell r="I18">
            <v>1106679</v>
          </cell>
          <cell r="J18">
            <v>1173079.74</v>
          </cell>
          <cell r="K18">
            <v>1235252.9662199998</v>
          </cell>
          <cell r="L18">
            <v>1295780.3615647797</v>
          </cell>
        </row>
        <row r="19">
          <cell r="A19" t="str">
            <v>Transfers recognised - operational</v>
          </cell>
          <cell r="C19">
            <v>139317363.84999999</v>
          </cell>
          <cell r="D19">
            <v>29459991.289999999</v>
          </cell>
          <cell r="E19">
            <v>36501860</v>
          </cell>
          <cell r="F19">
            <v>36283151</v>
          </cell>
          <cell r="G19">
            <v>36658151</v>
          </cell>
          <cell r="H19">
            <v>36658151</v>
          </cell>
          <cell r="I19">
            <v>36658151</v>
          </cell>
          <cell r="J19">
            <v>43009880.060000002</v>
          </cell>
          <cell r="K19">
            <v>45170080.88318</v>
          </cell>
          <cell r="L19">
            <v>48801452.686455823</v>
          </cell>
        </row>
        <row r="20">
          <cell r="A20" t="str">
            <v>Other revenue</v>
          </cell>
          <cell r="C20">
            <v>2850822</v>
          </cell>
          <cell r="D20">
            <v>2225060.7900000005</v>
          </cell>
          <cell r="E20">
            <v>2602788</v>
          </cell>
          <cell r="F20">
            <v>4881572.9601669386</v>
          </cell>
          <cell r="G20">
            <v>4881572.9601669386</v>
          </cell>
          <cell r="H20">
            <v>4881572.9601669386</v>
          </cell>
          <cell r="I20">
            <v>4881572.9601669386</v>
          </cell>
          <cell r="J20">
            <v>5318324.0489911018</v>
          </cell>
          <cell r="K20">
            <v>5776700.5454238355</v>
          </cell>
          <cell r="L20">
            <v>6269893.4471364776</v>
          </cell>
        </row>
        <row r="21">
          <cell r="A21" t="str">
            <v>Gains on disposal of PPE</v>
          </cell>
        </row>
        <row r="22">
          <cell r="A22" t="str">
            <v>Total Revenue (excluding capital transfers and contributions)</v>
          </cell>
        </row>
        <row r="24">
          <cell r="A24" t="str">
            <v>Expenditure By Type</v>
          </cell>
        </row>
        <row r="25">
          <cell r="A25" t="str">
            <v>Employee related costs</v>
          </cell>
          <cell r="C25">
            <v>22196499</v>
          </cell>
          <cell r="D25">
            <v>24139119.300000004</v>
          </cell>
          <cell r="E25">
            <v>24576487</v>
          </cell>
          <cell r="F25">
            <v>29303979.553619634</v>
          </cell>
          <cell r="G25">
            <v>27975468.553619634</v>
          </cell>
          <cell r="H25">
            <v>27975468.553619634</v>
          </cell>
          <cell r="I25">
            <v>27975468.553619634</v>
          </cell>
          <cell r="J25">
            <v>32429013.761117168</v>
          </cell>
          <cell r="K25">
            <v>34422534.1136932</v>
          </cell>
          <cell r="L25">
            <v>36477845.413966574</v>
          </cell>
        </row>
        <row r="26">
          <cell r="A26" t="str">
            <v>Remuneration of councillors</v>
          </cell>
          <cell r="C26">
            <v>2617120</v>
          </cell>
          <cell r="D26">
            <v>2745082.67</v>
          </cell>
          <cell r="E26">
            <v>2896259</v>
          </cell>
          <cell r="F26">
            <v>3826025.0087999995</v>
          </cell>
          <cell r="G26">
            <v>3826025.0087999995</v>
          </cell>
          <cell r="H26">
            <v>3826025.0087999995</v>
          </cell>
          <cell r="I26">
            <v>3826025.0087999995</v>
          </cell>
          <cell r="J26">
            <v>4529524.2069000006</v>
          </cell>
          <cell r="K26">
            <v>4801295.659314001</v>
          </cell>
          <cell r="L26">
            <v>5089373.3988728411</v>
          </cell>
        </row>
        <row r="27">
          <cell r="A27" t="str">
            <v>Debt impairment</v>
          </cell>
          <cell r="C27">
            <v>17489741</v>
          </cell>
          <cell r="D27">
            <v>17496500.260000002</v>
          </cell>
          <cell r="E27">
            <v>12693131</v>
          </cell>
          <cell r="F27">
            <v>12000000</v>
          </cell>
          <cell r="G27">
            <v>14000000</v>
          </cell>
          <cell r="H27">
            <v>14000000</v>
          </cell>
          <cell r="I27">
            <v>14000000</v>
          </cell>
          <cell r="J27">
            <v>15000000</v>
          </cell>
          <cell r="K27">
            <v>15000000</v>
          </cell>
          <cell r="L27">
            <v>15000000</v>
          </cell>
        </row>
        <row r="28">
          <cell r="A28" t="str">
            <v>Depreciation &amp; asset impairment</v>
          </cell>
          <cell r="C28">
            <v>0</v>
          </cell>
          <cell r="D28">
            <v>16809954.109999999</v>
          </cell>
          <cell r="E28">
            <v>17098687</v>
          </cell>
          <cell r="F28">
            <v>4700000</v>
          </cell>
          <cell r="G28">
            <v>15000000</v>
          </cell>
          <cell r="H28">
            <v>15000000</v>
          </cell>
          <cell r="I28">
            <v>15000000</v>
          </cell>
          <cell r="J28">
            <v>7500000</v>
          </cell>
          <cell r="K28">
            <v>7500000</v>
          </cell>
          <cell r="L28">
            <v>7500000</v>
          </cell>
        </row>
        <row r="29">
          <cell r="A29" t="str">
            <v>Finance charges</v>
          </cell>
          <cell r="C29">
            <v>766669</v>
          </cell>
          <cell r="D29">
            <v>1252156.5200000003</v>
          </cell>
          <cell r="E29">
            <v>1330194</v>
          </cell>
          <cell r="F29">
            <v>682520</v>
          </cell>
          <cell r="G29">
            <v>682520</v>
          </cell>
          <cell r="H29">
            <v>682520</v>
          </cell>
          <cell r="I29">
            <v>682520</v>
          </cell>
          <cell r="J29">
            <v>723470.86249175994</v>
          </cell>
          <cell r="K29">
            <v>761814.81820382318</v>
          </cell>
          <cell r="L29">
            <v>799143.74429581058</v>
          </cell>
        </row>
        <row r="30">
          <cell r="A30" t="str">
            <v>Bulk purchases</v>
          </cell>
          <cell r="C30">
            <v>5088708</v>
          </cell>
          <cell r="D30">
            <v>7622220.7599999998</v>
          </cell>
          <cell r="E30">
            <v>9180763</v>
          </cell>
          <cell r="F30">
            <v>10981134</v>
          </cell>
          <cell r="G30">
            <v>10781134</v>
          </cell>
          <cell r="H30">
            <v>10781134</v>
          </cell>
          <cell r="I30">
            <v>10781134</v>
          </cell>
          <cell r="J30">
            <v>12424325.249977527</v>
          </cell>
          <cell r="K30">
            <v>13996759.462474605</v>
          </cell>
          <cell r="L30">
            <v>15769008.253966302</v>
          </cell>
        </row>
        <row r="31">
          <cell r="A31" t="str">
            <v>Other materials</v>
          </cell>
          <cell r="I31">
            <v>0</v>
          </cell>
        </row>
        <row r="32">
          <cell r="A32" t="str">
            <v>Contracted services</v>
          </cell>
          <cell r="C32">
            <v>239849.03</v>
          </cell>
          <cell r="D32">
            <v>263223</v>
          </cell>
          <cell r="E32">
            <v>276840</v>
          </cell>
          <cell r="F32">
            <v>351673</v>
          </cell>
          <cell r="G32">
            <v>377913</v>
          </cell>
          <cell r="H32">
            <v>377913</v>
          </cell>
          <cell r="I32">
            <v>377913</v>
          </cell>
          <cell r="J32">
            <v>1993553.28</v>
          </cell>
          <cell r="K32">
            <v>2080753.5158400002</v>
          </cell>
          <cell r="L32">
            <v>2234978.6166441604</v>
          </cell>
        </row>
        <row r="33">
          <cell r="A33" t="str">
            <v>Transfers and grants</v>
          </cell>
          <cell r="C33">
            <v>1788054</v>
          </cell>
          <cell r="D33">
            <v>1162174</v>
          </cell>
          <cell r="E33">
            <v>2857495</v>
          </cell>
          <cell r="F33">
            <v>2626800</v>
          </cell>
          <cell r="G33">
            <v>2892800</v>
          </cell>
          <cell r="H33">
            <v>2892800</v>
          </cell>
          <cell r="I33">
            <v>2892800</v>
          </cell>
          <cell r="J33">
            <v>3633628</v>
          </cell>
          <cell r="K33">
            <v>3826210.284</v>
          </cell>
          <cell r="L33">
            <v>4013694.5879159998</v>
          </cell>
        </row>
        <row r="34">
          <cell r="A34" t="str">
            <v>Other expenditure</v>
          </cell>
          <cell r="C34">
            <v>139016520.97</v>
          </cell>
          <cell r="D34">
            <v>19518970.59</v>
          </cell>
          <cell r="E34">
            <v>18293837.199999999</v>
          </cell>
          <cell r="F34">
            <v>26618615.408001125</v>
          </cell>
          <cell r="G34">
            <v>26912487.408001125</v>
          </cell>
          <cell r="H34">
            <v>26912487.408001125</v>
          </cell>
          <cell r="I34">
            <v>26912487.408001125</v>
          </cell>
          <cell r="J34">
            <v>32068420.989932321</v>
          </cell>
          <cell r="K34">
            <v>33842211.024511218</v>
          </cell>
          <cell r="L34">
            <v>35980512.460014112</v>
          </cell>
        </row>
        <row r="35">
          <cell r="A35" t="str">
            <v>Loss on disposal of PPE</v>
          </cell>
          <cell r="I35">
            <v>0</v>
          </cell>
        </row>
        <row r="36">
          <cell r="A36" t="str">
            <v>Total Expenditure</v>
          </cell>
        </row>
        <row r="38">
          <cell r="A38" t="str">
            <v>Surplus/(Deficit)</v>
          </cell>
        </row>
        <row r="39">
          <cell r="A39" t="str">
            <v>Transfers recognised - capital</v>
          </cell>
          <cell r="C39">
            <v>16603181.149999999</v>
          </cell>
          <cell r="D39">
            <v>20888842.68</v>
          </cell>
          <cell r="E39">
            <v>22968547</v>
          </cell>
          <cell r="F39">
            <v>18529000</v>
          </cell>
          <cell r="G39">
            <v>34529000</v>
          </cell>
          <cell r="H39">
            <v>34529000</v>
          </cell>
          <cell r="I39">
            <v>34529000</v>
          </cell>
          <cell r="J39">
            <v>39476050</v>
          </cell>
          <cell r="K39">
            <v>30175150</v>
          </cell>
          <cell r="L39">
            <v>25080000</v>
          </cell>
        </row>
        <row r="40">
          <cell r="A40" t="str">
            <v>Contributions recognised - capital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 t="str">
            <v>Contributed assets</v>
          </cell>
        </row>
        <row r="42">
          <cell r="A42" t="str">
            <v>Surplus/(Deficit) after capital transfers &amp; contributions</v>
          </cell>
        </row>
        <row r="47">
          <cell r="A47" t="str">
            <v>Share of surplus/ (deficit) of associate</v>
          </cell>
          <cell r="I47">
            <v>0</v>
          </cell>
        </row>
        <row r="48">
          <cell r="A48" t="str">
            <v>Surplus/(Deficit) for the year</v>
          </cell>
        </row>
      </sheetData>
      <sheetData sheetId="12">
        <row r="63">
          <cell r="C63">
            <v>17580072.48</v>
          </cell>
          <cell r="D63">
            <v>26406364.819999997</v>
          </cell>
          <cell r="E63">
            <v>24065430.169999998</v>
          </cell>
          <cell r="F63">
            <v>22827350</v>
          </cell>
          <cell r="G63">
            <v>39492350</v>
          </cell>
          <cell r="H63">
            <v>39492350</v>
          </cell>
          <cell r="I63">
            <v>39492350</v>
          </cell>
          <cell r="J63">
            <v>42186059</v>
          </cell>
          <cell r="K63">
            <v>30175150</v>
          </cell>
          <cell r="L63">
            <v>25080000</v>
          </cell>
        </row>
        <row r="70">
          <cell r="C70">
            <v>16558880</v>
          </cell>
          <cell r="D70">
            <v>19161000</v>
          </cell>
          <cell r="E70">
            <v>23569332</v>
          </cell>
          <cell r="F70">
            <v>18537300</v>
          </cell>
          <cell r="G70">
            <v>34537300</v>
          </cell>
          <cell r="H70">
            <v>34537300</v>
          </cell>
          <cell r="I70">
            <v>34537300</v>
          </cell>
          <cell r="J70">
            <v>39476050</v>
          </cell>
          <cell r="K70">
            <v>30175150</v>
          </cell>
          <cell r="L70">
            <v>25080000</v>
          </cell>
        </row>
        <row r="71">
          <cell r="A71" t="str">
            <v>Public contributions &amp; donations</v>
          </cell>
          <cell r="C71">
            <v>66150</v>
          </cell>
          <cell r="D71">
            <v>4044947</v>
          </cell>
          <cell r="E71">
            <v>316120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>Borrowing</v>
          </cell>
          <cell r="C72">
            <v>588081</v>
          </cell>
          <cell r="D72">
            <v>2488469</v>
          </cell>
          <cell r="F72">
            <v>2880000</v>
          </cell>
          <cell r="G72">
            <v>4330000</v>
          </cell>
          <cell r="H72">
            <v>4330000</v>
          </cell>
          <cell r="I72">
            <v>4330000</v>
          </cell>
          <cell r="J72">
            <v>300000</v>
          </cell>
          <cell r="K72">
            <v>0</v>
          </cell>
          <cell r="L72">
            <v>0</v>
          </cell>
        </row>
        <row r="73">
          <cell r="A73" t="str">
            <v>Internally generated funds</v>
          </cell>
          <cell r="C73">
            <v>366961</v>
          </cell>
          <cell r="D73">
            <v>711915</v>
          </cell>
          <cell r="E73">
            <v>179979</v>
          </cell>
          <cell r="F73">
            <v>1410050</v>
          </cell>
          <cell r="G73">
            <v>625050</v>
          </cell>
          <cell r="H73">
            <v>625050</v>
          </cell>
          <cell r="I73">
            <v>625050</v>
          </cell>
          <cell r="J73">
            <v>2410009</v>
          </cell>
          <cell r="K73">
            <v>0</v>
          </cell>
          <cell r="L73">
            <v>0</v>
          </cell>
        </row>
      </sheetData>
      <sheetData sheetId="13">
        <row r="115">
          <cell r="L115">
            <v>0</v>
          </cell>
        </row>
        <row r="126">
          <cell r="L126">
            <v>0</v>
          </cell>
        </row>
        <row r="137">
          <cell r="L137">
            <v>0</v>
          </cell>
        </row>
        <row r="148">
          <cell r="L148">
            <v>0</v>
          </cell>
        </row>
        <row r="159">
          <cell r="L159">
            <v>0</v>
          </cell>
        </row>
      </sheetData>
      <sheetData sheetId="14">
        <row r="6">
          <cell r="C6">
            <v>57348.919999999925</v>
          </cell>
          <cell r="D6">
            <v>252679.58999999973</v>
          </cell>
          <cell r="E6">
            <v>236336</v>
          </cell>
          <cell r="F6">
            <v>3563522.1303707324</v>
          </cell>
          <cell r="G6">
            <v>10035134.235233292</v>
          </cell>
          <cell r="H6">
            <v>10035134.235233292</v>
          </cell>
          <cell r="I6">
            <v>10035134.235233292</v>
          </cell>
          <cell r="J6">
            <v>12266880.776031733</v>
          </cell>
          <cell r="K6">
            <v>19483612.460994147</v>
          </cell>
          <cell r="L6">
            <v>29703892.230545696</v>
          </cell>
        </row>
        <row r="7">
          <cell r="C7">
            <v>12511631.220000003</v>
          </cell>
          <cell r="D7">
            <v>1615320.5299999996</v>
          </cell>
          <cell r="E7">
            <v>528949</v>
          </cell>
          <cell r="F7">
            <v>8241320.5300000003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12">
          <cell r="A12" t="str">
            <v>Total current assets</v>
          </cell>
          <cell r="C12">
            <v>42121790.220000006</v>
          </cell>
          <cell r="D12">
            <v>45956789.559999995</v>
          </cell>
          <cell r="E12">
            <v>50828253.740000002</v>
          </cell>
          <cell r="F12">
            <v>47992480.321759284</v>
          </cell>
          <cell r="G12">
            <v>60826520.835233293</v>
          </cell>
          <cell r="H12">
            <v>60826520.835233293</v>
          </cell>
          <cell r="I12">
            <v>60826520.835233293</v>
          </cell>
          <cell r="J12">
            <v>63274875.479882851</v>
          </cell>
          <cell r="K12">
            <v>70723294.487399086</v>
          </cell>
          <cell r="L12">
            <v>81187535.475984514</v>
          </cell>
        </row>
        <row r="14">
          <cell r="A14" t="str">
            <v>Non current assets</v>
          </cell>
        </row>
        <row r="16">
          <cell r="A16" t="str">
            <v>Investments</v>
          </cell>
        </row>
        <row r="24">
          <cell r="A24" t="str">
            <v>Total non current assets</v>
          </cell>
          <cell r="C24">
            <v>17642437.350000001</v>
          </cell>
          <cell r="D24">
            <v>345614777.42999995</v>
          </cell>
          <cell r="E24">
            <v>353758844.22000003</v>
          </cell>
          <cell r="F24">
            <v>70052449.533889338</v>
          </cell>
          <cell r="G24">
            <v>378254556.24000007</v>
          </cell>
          <cell r="H24">
            <v>378254556.24000007</v>
          </cell>
          <cell r="I24">
            <v>378254556.24000007</v>
          </cell>
          <cell r="J24">
            <v>412943584.72400004</v>
          </cell>
          <cell r="K24">
            <v>435621915.04136407</v>
          </cell>
          <cell r="L24">
            <v>453205323.09439498</v>
          </cell>
        </row>
        <row r="29">
          <cell r="C29">
            <v>1286236.19</v>
          </cell>
          <cell r="D29">
            <v>1121400.8299999773</v>
          </cell>
          <cell r="E29">
            <v>391024.67</v>
          </cell>
        </row>
        <row r="34">
          <cell r="A34" t="str">
            <v>Total current liabilities</v>
          </cell>
          <cell r="C34">
            <v>67132797.179999992</v>
          </cell>
          <cell r="D34">
            <v>63993877.089999974</v>
          </cell>
          <cell r="E34">
            <v>47043272.570000008</v>
          </cell>
          <cell r="F34">
            <v>70546343.745562568</v>
          </cell>
          <cell r="G34">
            <v>48366272.370165154</v>
          </cell>
          <cell r="H34">
            <v>48366272.370165154</v>
          </cell>
          <cell r="I34">
            <v>48366272.370165154</v>
          </cell>
          <cell r="J34">
            <v>50111716.040773287</v>
          </cell>
          <cell r="K34">
            <v>52266679.898412183</v>
          </cell>
          <cell r="L34">
            <v>54258302.981639855</v>
          </cell>
        </row>
        <row r="39">
          <cell r="A39" t="str">
            <v>Total non current liabilities</v>
          </cell>
          <cell r="C39">
            <v>7105541.9900000002</v>
          </cell>
          <cell r="D39">
            <v>8789520.7199999988</v>
          </cell>
          <cell r="E39">
            <v>11895617.210000001</v>
          </cell>
          <cell r="F39">
            <v>9151616.6725292169</v>
          </cell>
          <cell r="G39">
            <v>15297848.268299468</v>
          </cell>
          <cell r="H39">
            <v>15297848.268299468</v>
          </cell>
          <cell r="I39">
            <v>15297848.268299468</v>
          </cell>
          <cell r="J39">
            <v>14299950.596209269</v>
          </cell>
          <cell r="K39">
            <v>13422786.638605962</v>
          </cell>
          <cell r="L39">
            <v>12856423.33222053</v>
          </cell>
        </row>
        <row r="48">
          <cell r="C48">
            <v>-14474111.299999997</v>
          </cell>
          <cell r="D48">
            <v>318788169.19</v>
          </cell>
          <cell r="E48">
            <v>345648208.59000003</v>
          </cell>
          <cell r="F48">
            <v>38346688.768193841</v>
          </cell>
          <cell r="G48">
            <v>375416956.43676871</v>
          </cell>
          <cell r="H48">
            <v>375416956.43676871</v>
          </cell>
          <cell r="I48">
            <v>375416956.43676871</v>
          </cell>
          <cell r="J48">
            <v>411806793.56690031</v>
          </cell>
          <cell r="K48">
            <v>440655742.99174505</v>
          </cell>
          <cell r="L48">
            <v>467278132.25651908</v>
          </cell>
        </row>
      </sheetData>
      <sheetData sheetId="15">
        <row r="15">
          <cell r="C15">
            <v>13625782.5</v>
          </cell>
          <cell r="D15">
            <v>20137993.739999991</v>
          </cell>
          <cell r="E15">
            <v>18387994.990000017</v>
          </cell>
          <cell r="F15">
            <v>22073179.596896738</v>
          </cell>
          <cell r="G15">
            <v>47718023.952225149</v>
          </cell>
          <cell r="H15">
            <v>47718023.952225149</v>
          </cell>
          <cell r="I15">
            <v>47726023.952225149</v>
          </cell>
          <cell r="J15">
            <v>46300676.112498969</v>
          </cell>
          <cell r="K15">
            <v>39039095.253738612</v>
          </cell>
          <cell r="L15">
            <v>42058669.011086583</v>
          </cell>
        </row>
        <row r="25">
          <cell r="C25">
            <v>-17570955</v>
          </cell>
          <cell r="D25">
            <v>-32502312.57</v>
          </cell>
          <cell r="E25">
            <v>-25245922.140000075</v>
          </cell>
          <cell r="F25">
            <v>-22831429.351319339</v>
          </cell>
          <cell r="G25">
            <v>-39495711.68</v>
          </cell>
          <cell r="H25">
            <v>-39495711.68</v>
          </cell>
          <cell r="I25">
            <v>-39495711.68</v>
          </cell>
          <cell r="J25">
            <v>-42189239.317364</v>
          </cell>
          <cell r="K25">
            <v>-30178558.053030927</v>
          </cell>
          <cell r="L25">
            <v>-25083654.219322931</v>
          </cell>
        </row>
        <row r="34">
          <cell r="C34">
            <v>5806644.5199999996</v>
          </cell>
          <cell r="D34">
            <v>824862</v>
          </cell>
          <cell r="E34">
            <v>6485584.1999999993</v>
          </cell>
          <cell r="F34">
            <v>1675632.5805766345</v>
          </cell>
          <cell r="G34">
            <v>1430591.7149107503</v>
          </cell>
          <cell r="H34">
            <v>1430591.7149107503</v>
          </cell>
          <cell r="I34">
            <v>1430591.7149107503</v>
          </cell>
          <cell r="J34">
            <v>-1879733.1837005299</v>
          </cell>
          <cell r="K34">
            <v>-1643853.4262282001</v>
          </cell>
          <cell r="L34">
            <v>-1254034.0955318417</v>
          </cell>
        </row>
        <row r="38">
          <cell r="A38" t="str">
            <v>Cash/cash equivalents at the year end:</v>
          </cell>
          <cell r="C38">
            <v>12286131.860000005</v>
          </cell>
          <cell r="D38">
            <v>746675.0299999956</v>
          </cell>
          <cell r="E38">
            <v>374332.07999993674</v>
          </cell>
          <cell r="F38">
            <v>581306.34633402713</v>
          </cell>
          <cell r="G38">
            <v>10027161.987135898</v>
          </cell>
          <cell r="H38">
            <v>10027161.987135898</v>
          </cell>
          <cell r="I38">
            <v>10035161.987135898</v>
          </cell>
          <cell r="J38">
            <v>12266865.598570338</v>
          </cell>
          <cell r="K38">
            <v>19483549.373049822</v>
          </cell>
          <cell r="L38">
            <v>35204530.06928163</v>
          </cell>
        </row>
      </sheetData>
      <sheetData sheetId="16">
        <row r="4">
          <cell r="A4" t="str">
            <v>Cash and investments available</v>
          </cell>
        </row>
        <row r="5">
          <cell r="C5">
            <v>12286131.860000005</v>
          </cell>
          <cell r="D5">
            <v>746675.0299999956</v>
          </cell>
          <cell r="E5">
            <v>374332.07999993674</v>
          </cell>
          <cell r="F5">
            <v>581306.34633402713</v>
          </cell>
          <cell r="G5">
            <v>10027161.987135898</v>
          </cell>
          <cell r="H5">
            <v>10027161.987135898</v>
          </cell>
          <cell r="I5">
            <v>10035161.987135898</v>
          </cell>
          <cell r="J5">
            <v>12266865.598570338</v>
          </cell>
          <cell r="K5">
            <v>19483549.373049822</v>
          </cell>
          <cell r="L5">
            <v>35204530.06928163</v>
          </cell>
        </row>
        <row r="8">
          <cell r="C8">
            <v>11282743.950000003</v>
          </cell>
          <cell r="D8">
            <v>746599.29000002192</v>
          </cell>
          <cell r="E8">
            <v>374260.33</v>
          </cell>
          <cell r="F8">
            <v>11804842.660370734</v>
          </cell>
          <cell r="G8">
            <v>10035134.235233292</v>
          </cell>
          <cell r="H8">
            <v>10035134.235233292</v>
          </cell>
          <cell r="I8">
            <v>10035134.235233292</v>
          </cell>
          <cell r="J8">
            <v>12266880.776031733</v>
          </cell>
          <cell r="K8">
            <v>19483612.460994147</v>
          </cell>
          <cell r="L8">
            <v>29703892.230545696</v>
          </cell>
        </row>
        <row r="10">
          <cell r="A10" t="str">
            <v>Application of cash and investments</v>
          </cell>
        </row>
        <row r="18">
          <cell r="C18">
            <v>49800502.569999993</v>
          </cell>
          <cell r="D18">
            <v>16030964.709999999</v>
          </cell>
          <cell r="E18">
            <v>21464099.600000001</v>
          </cell>
          <cell r="F18">
            <v>19446665.296378344</v>
          </cell>
          <cell r="G18">
            <v>-7548495.9375353754</v>
          </cell>
          <cell r="H18">
            <v>-7548495.9375353754</v>
          </cell>
          <cell r="I18">
            <v>-7548495.9375353754</v>
          </cell>
          <cell r="J18">
            <v>5945218.9544590861</v>
          </cell>
          <cell r="K18">
            <v>6680702.8775547519</v>
          </cell>
          <cell r="L18">
            <v>3572847.8105325997</v>
          </cell>
        </row>
      </sheetData>
      <sheetData sheetId="17">
        <row r="20">
          <cell r="C20">
            <v>0</v>
          </cell>
          <cell r="D20">
            <v>0</v>
          </cell>
          <cell r="E20">
            <v>0</v>
          </cell>
          <cell r="F20">
            <v>18803800</v>
          </cell>
          <cell r="G20">
            <v>35403800</v>
          </cell>
          <cell r="H20">
            <v>35403800</v>
          </cell>
          <cell r="I20">
            <v>19000000</v>
          </cell>
          <cell r="J20">
            <v>20885200</v>
          </cell>
          <cell r="K20">
            <v>20460000</v>
          </cell>
        </row>
        <row r="65">
          <cell r="C65">
            <v>17580073</v>
          </cell>
          <cell r="D65">
            <v>345555581.47000003</v>
          </cell>
          <cell r="E65">
            <v>353702816.82000005</v>
          </cell>
          <cell r="F65">
            <v>69985999.819999993</v>
          </cell>
          <cell r="G65">
            <v>378195166.73000002</v>
          </cell>
          <cell r="H65">
            <v>378195166.73000002</v>
          </cell>
          <cell r="I65">
            <v>412881225.56</v>
          </cell>
          <cell r="J65">
            <v>435556375.56</v>
          </cell>
          <cell r="K65">
            <v>453136375.56</v>
          </cell>
        </row>
        <row r="68">
          <cell r="A68" t="str">
            <v>Depreciation &amp; asset impairment</v>
          </cell>
          <cell r="C68">
            <v>0</v>
          </cell>
          <cell r="D68">
            <v>16809954.109999999</v>
          </cell>
          <cell r="E68">
            <v>17098687</v>
          </cell>
          <cell r="F68">
            <v>4700000</v>
          </cell>
          <cell r="G68">
            <v>15000000</v>
          </cell>
          <cell r="H68">
            <v>15000000</v>
          </cell>
          <cell r="I68">
            <v>7500000</v>
          </cell>
          <cell r="J68">
            <v>7500000</v>
          </cell>
          <cell r="K68">
            <v>7500000</v>
          </cell>
        </row>
        <row r="69">
          <cell r="C69">
            <v>3376149.15</v>
          </cell>
          <cell r="D69">
            <v>2730101</v>
          </cell>
          <cell r="E69">
            <v>2810008.7699999996</v>
          </cell>
          <cell r="F69">
            <v>6443461.9498999994</v>
          </cell>
          <cell r="G69">
            <v>4943461.9498999994</v>
          </cell>
          <cell r="H69">
            <v>4943461.9498999994</v>
          </cell>
          <cell r="I69">
            <v>7132331</v>
          </cell>
          <cell r="J69">
            <v>7527531.5640000002</v>
          </cell>
          <cell r="K69">
            <v>7922077.2124700006</v>
          </cell>
        </row>
      </sheetData>
      <sheetData sheetId="18">
        <row r="5">
          <cell r="A5" t="str">
            <v>Water:</v>
          </cell>
        </row>
        <row r="14">
          <cell r="C14">
            <v>1049</v>
          </cell>
          <cell r="D14">
            <v>1049</v>
          </cell>
          <cell r="E14">
            <v>0</v>
          </cell>
          <cell r="F14">
            <v>1270</v>
          </cell>
          <cell r="G14">
            <v>1270</v>
          </cell>
          <cell r="H14">
            <v>1270</v>
          </cell>
          <cell r="I14">
            <v>70</v>
          </cell>
          <cell r="J14">
            <v>70</v>
          </cell>
          <cell r="K14">
            <v>70</v>
          </cell>
        </row>
        <row r="16">
          <cell r="A16" t="str">
            <v>Sanitation/sewerage:</v>
          </cell>
        </row>
        <row r="26">
          <cell r="C26">
            <v>6929</v>
          </cell>
          <cell r="D26">
            <v>5942</v>
          </cell>
          <cell r="E26">
            <v>0</v>
          </cell>
          <cell r="F26">
            <v>2958</v>
          </cell>
          <cell r="G26">
            <v>2958</v>
          </cell>
          <cell r="H26">
            <v>2958</v>
          </cell>
          <cell r="I26">
            <v>416</v>
          </cell>
          <cell r="J26">
            <v>416</v>
          </cell>
          <cell r="K26">
            <v>416</v>
          </cell>
        </row>
        <row r="28">
          <cell r="A28" t="str">
            <v>Energy: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7">
          <cell r="A37" t="str">
            <v>Refuse:</v>
          </cell>
        </row>
        <row r="45">
          <cell r="C45">
            <v>7704</v>
          </cell>
          <cell r="D45">
            <v>7542</v>
          </cell>
          <cell r="E45">
            <v>0</v>
          </cell>
          <cell r="F45">
            <v>6444</v>
          </cell>
          <cell r="G45">
            <v>6444</v>
          </cell>
          <cell r="H45">
            <v>6444</v>
          </cell>
          <cell r="I45">
            <v>6444</v>
          </cell>
          <cell r="J45">
            <v>6444</v>
          </cell>
          <cell r="K45">
            <v>6444</v>
          </cell>
        </row>
        <row r="59">
          <cell r="C59">
            <v>889892.21</v>
          </cell>
          <cell r="D59">
            <v>819029.76</v>
          </cell>
          <cell r="E59">
            <v>0</v>
          </cell>
          <cell r="F59">
            <v>933151.73279999988</v>
          </cell>
          <cell r="G59">
            <v>933151.73279999988</v>
          </cell>
          <cell r="H59">
            <v>933151.73279999988</v>
          </cell>
          <cell r="I59">
            <v>1054928.0339303999</v>
          </cell>
          <cell r="J59">
            <v>1192068.6783413517</v>
          </cell>
          <cell r="K59">
            <v>1347037.6065257273</v>
          </cell>
        </row>
        <row r="78">
          <cell r="C78">
            <v>1788052.5</v>
          </cell>
          <cell r="D78">
            <v>16878849.456249997</v>
          </cell>
          <cell r="E78">
            <v>0</v>
          </cell>
          <cell r="F78">
            <v>18934048.939999998</v>
          </cell>
          <cell r="G78">
            <v>19234048.939999998</v>
          </cell>
          <cell r="H78">
            <v>19234048.939999998</v>
          </cell>
          <cell r="I78">
            <v>22039799.344599999</v>
          </cell>
          <cell r="J78">
            <v>23782883.736168001</v>
          </cell>
          <cell r="K78">
            <v>25660533.671857402</v>
          </cell>
        </row>
      </sheetData>
      <sheetData sheetId="19">
        <row r="9">
          <cell r="C9">
            <v>6760512.5</v>
          </cell>
          <cell r="D9">
            <v>8801214.7899999991</v>
          </cell>
          <cell r="E9">
            <v>12413157</v>
          </cell>
          <cell r="F9">
            <v>14699717.059999999</v>
          </cell>
          <cell r="G9">
            <v>14699717.059999999</v>
          </cell>
          <cell r="H9">
            <v>14699717.059999999</v>
          </cell>
          <cell r="I9">
            <v>14699717.059999999</v>
          </cell>
          <cell r="J9">
            <v>16022691.595400002</v>
          </cell>
          <cell r="K9">
            <v>17304506.923032001</v>
          </cell>
          <cell r="L9">
            <v>18688867.47687456</v>
          </cell>
        </row>
        <row r="14">
          <cell r="C14">
            <v>6126789</v>
          </cell>
          <cell r="D14">
            <v>9744336.9100000001</v>
          </cell>
          <cell r="E14">
            <v>12752202</v>
          </cell>
          <cell r="F14">
            <v>11918118.5609928</v>
          </cell>
          <cell r="G14">
            <v>14659284.5609928</v>
          </cell>
          <cell r="H14">
            <v>14659284.5609928</v>
          </cell>
          <cell r="I14">
            <v>14659284.5609928</v>
          </cell>
          <cell r="J14">
            <v>16276204.135500001</v>
          </cell>
          <cell r="K14">
            <v>18066586.590405002</v>
          </cell>
          <cell r="L14">
            <v>19928164.756250888</v>
          </cell>
        </row>
        <row r="19">
          <cell r="C19">
            <v>6242511</v>
          </cell>
          <cell r="D19">
            <v>6990394.7999999998</v>
          </cell>
          <cell r="E19">
            <v>14039527</v>
          </cell>
          <cell r="F19">
            <v>9936985.0800000001</v>
          </cell>
          <cell r="G19">
            <v>10731944.08</v>
          </cell>
          <cell r="H19">
            <v>10731944.08</v>
          </cell>
          <cell r="I19">
            <v>10731944.08</v>
          </cell>
          <cell r="J19">
            <v>10831313.737199999</v>
          </cell>
          <cell r="K19">
            <v>11697818.836176002</v>
          </cell>
          <cell r="L19">
            <v>12633644.343070082</v>
          </cell>
        </row>
        <row r="24">
          <cell r="C24">
            <v>1490599</v>
          </cell>
          <cell r="D24">
            <v>1484226.0899999999</v>
          </cell>
          <cell r="E24">
            <v>1653292.69</v>
          </cell>
          <cell r="F24">
            <v>2677300</v>
          </cell>
          <cell r="G24">
            <v>2810985</v>
          </cell>
          <cell r="H24">
            <v>2810985</v>
          </cell>
          <cell r="I24">
            <v>2810985</v>
          </cell>
          <cell r="J24">
            <v>2918257</v>
          </cell>
          <cell r="K24">
            <v>3151717.56</v>
          </cell>
          <cell r="L24">
            <v>3403854.9648000002</v>
          </cell>
        </row>
        <row r="30">
          <cell r="C30">
            <v>3033219</v>
          </cell>
          <cell r="D30">
            <v>3254288.9699999997</v>
          </cell>
          <cell r="E30">
            <v>3529736.76</v>
          </cell>
          <cell r="F30">
            <v>5062334.9800000004</v>
          </cell>
          <cell r="G30">
            <v>5062334.9800000004</v>
          </cell>
          <cell r="H30">
            <v>5062334.9800000004</v>
          </cell>
          <cell r="I30">
            <v>5062334.9800000004</v>
          </cell>
          <cell r="J30">
            <v>5517945.1282000011</v>
          </cell>
          <cell r="K30">
            <v>5959380.7384560015</v>
          </cell>
          <cell r="L30">
            <v>6436131.1975324824</v>
          </cell>
        </row>
        <row r="45">
          <cell r="C45">
            <v>2850822</v>
          </cell>
          <cell r="D45">
            <v>2225060.7900000005</v>
          </cell>
          <cell r="E45">
            <v>2602788</v>
          </cell>
          <cell r="F45">
            <v>4881572.9601669386</v>
          </cell>
          <cell r="G45">
            <v>4881572.9601669386</v>
          </cell>
          <cell r="H45">
            <v>4881572.9601669386</v>
          </cell>
          <cell r="I45">
            <v>4881572.9601669386</v>
          </cell>
          <cell r="J45">
            <v>5318324.0489911018</v>
          </cell>
          <cell r="K45">
            <v>5776700.5454238355</v>
          </cell>
          <cell r="L45">
            <v>6269893.4471364776</v>
          </cell>
        </row>
        <row r="63">
          <cell r="C63">
            <v>22196499</v>
          </cell>
          <cell r="D63">
            <v>24139119.300000004</v>
          </cell>
          <cell r="E63">
            <v>24576487</v>
          </cell>
          <cell r="F63">
            <v>29303979.553619634</v>
          </cell>
          <cell r="G63">
            <v>27975468.553619634</v>
          </cell>
          <cell r="H63">
            <v>27975468.553619634</v>
          </cell>
          <cell r="I63">
            <v>27975468.553619634</v>
          </cell>
          <cell r="J63">
            <v>32429013.761117168</v>
          </cell>
          <cell r="K63">
            <v>34422534.1136932</v>
          </cell>
          <cell r="L63">
            <v>36477845.413966574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9">
          <cell r="C79">
            <v>0</v>
          </cell>
          <cell r="D79">
            <v>16809954.109999999</v>
          </cell>
          <cell r="E79">
            <v>17098687</v>
          </cell>
          <cell r="F79">
            <v>4700000</v>
          </cell>
          <cell r="G79">
            <v>15000000</v>
          </cell>
          <cell r="H79">
            <v>15000000</v>
          </cell>
          <cell r="I79">
            <v>15000000</v>
          </cell>
          <cell r="J79">
            <v>7500000</v>
          </cell>
          <cell r="K79">
            <v>7500000</v>
          </cell>
          <cell r="L79">
            <v>7500000</v>
          </cell>
        </row>
        <row r="84">
          <cell r="C84">
            <v>5088708</v>
          </cell>
          <cell r="D84">
            <v>7622220.7599999998</v>
          </cell>
          <cell r="E84">
            <v>9180763</v>
          </cell>
          <cell r="F84">
            <v>10981134</v>
          </cell>
          <cell r="G84">
            <v>10781134</v>
          </cell>
          <cell r="H84">
            <v>10781134</v>
          </cell>
          <cell r="I84">
            <v>10781134</v>
          </cell>
          <cell r="J84">
            <v>12424325.249977527</v>
          </cell>
          <cell r="K84">
            <v>13996759.462474605</v>
          </cell>
          <cell r="L84">
            <v>15769008.253966302</v>
          </cell>
        </row>
        <row r="89">
          <cell r="C89">
            <v>1788054</v>
          </cell>
          <cell r="D89">
            <v>1162174</v>
          </cell>
          <cell r="E89">
            <v>2857495</v>
          </cell>
          <cell r="F89">
            <v>2626800</v>
          </cell>
          <cell r="G89">
            <v>2892800</v>
          </cell>
          <cell r="H89">
            <v>2892800</v>
          </cell>
          <cell r="I89">
            <v>2892800</v>
          </cell>
          <cell r="J89">
            <v>3633628</v>
          </cell>
          <cell r="K89">
            <v>3826210.284</v>
          </cell>
          <cell r="L89">
            <v>4013694.5879159998</v>
          </cell>
        </row>
        <row r="123">
          <cell r="C123">
            <v>239849.03</v>
          </cell>
          <cell r="D123">
            <v>263223</v>
          </cell>
          <cell r="E123">
            <v>276840</v>
          </cell>
          <cell r="F123">
            <v>351673</v>
          </cell>
          <cell r="G123">
            <v>377913</v>
          </cell>
          <cell r="H123">
            <v>377913</v>
          </cell>
          <cell r="I123">
            <v>377913</v>
          </cell>
          <cell r="J123">
            <v>1993553.28</v>
          </cell>
          <cell r="K123">
            <v>2080753.5158400002</v>
          </cell>
          <cell r="L123">
            <v>2234978.6166441604</v>
          </cell>
        </row>
        <row r="153">
          <cell r="C153">
            <v>139016520.97</v>
          </cell>
          <cell r="D153">
            <v>19518970.59</v>
          </cell>
          <cell r="E153">
            <v>18293837.199999999</v>
          </cell>
          <cell r="F153">
            <v>26618615.408001125</v>
          </cell>
          <cell r="G153">
            <v>26912487.408001125</v>
          </cell>
          <cell r="H153">
            <v>26912487.408001125</v>
          </cell>
          <cell r="I153">
            <v>26912487.408001125</v>
          </cell>
          <cell r="J153">
            <v>32068420.989932321</v>
          </cell>
          <cell r="K153">
            <v>33842211.024511218</v>
          </cell>
          <cell r="L153">
            <v>35980512.460014112</v>
          </cell>
        </row>
      </sheetData>
      <sheetData sheetId="20"/>
      <sheetData sheetId="21">
        <row r="9">
          <cell r="C9">
            <v>12511631.220000003</v>
          </cell>
          <cell r="D9">
            <v>1615320.5299999996</v>
          </cell>
          <cell r="E9">
            <v>528949</v>
          </cell>
          <cell r="F9">
            <v>8241320.5300000003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4">
          <cell r="C14">
            <v>2279276.0200000033</v>
          </cell>
          <cell r="D14">
            <v>5317027.4799999967</v>
          </cell>
          <cell r="E14">
            <v>18155105.399999999</v>
          </cell>
          <cell r="F14">
            <v>5576441.13216874</v>
          </cell>
          <cell r="G14">
            <v>14560200</v>
          </cell>
          <cell r="H14">
            <v>14560200</v>
          </cell>
          <cell r="I14">
            <v>14560200</v>
          </cell>
          <cell r="J14">
            <v>14560200</v>
          </cell>
          <cell r="K14">
            <v>14560199.999999985</v>
          </cell>
          <cell r="L14">
            <v>14560199.999999985</v>
          </cell>
        </row>
        <row r="26">
          <cell r="C26">
            <v>17580073</v>
          </cell>
          <cell r="D26">
            <v>302844419.01999998</v>
          </cell>
          <cell r="E26">
            <v>310080249.69000006</v>
          </cell>
          <cell r="F26">
            <v>69986000</v>
          </cell>
          <cell r="G26">
            <v>334572599.69000006</v>
          </cell>
          <cell r="H26">
            <v>334572599.69000006</v>
          </cell>
          <cell r="I26">
            <v>334572599.69000006</v>
          </cell>
          <cell r="J26">
            <v>369258658.69000006</v>
          </cell>
          <cell r="K26">
            <v>391933808.69000006</v>
          </cell>
          <cell r="L26">
            <v>409513808.69000006</v>
          </cell>
        </row>
        <row r="32">
          <cell r="C32">
            <v>650709</v>
          </cell>
          <cell r="D32">
            <v>1673532</v>
          </cell>
          <cell r="E32">
            <v>5399314</v>
          </cell>
          <cell r="F32">
            <v>1534260.5391654661</v>
          </cell>
          <cell r="G32">
            <v>3779708.4137005298</v>
          </cell>
          <cell r="H32">
            <v>3779708.4137005298</v>
          </cell>
          <cell r="I32">
            <v>3779708.4137005298</v>
          </cell>
          <cell r="J32">
            <v>3259622.3105581999</v>
          </cell>
          <cell r="K32">
            <v>2870660.2606770014</v>
          </cell>
          <cell r="L32">
            <v>2587917.9592804327</v>
          </cell>
        </row>
        <row r="36">
          <cell r="A36" t="str">
            <v>Unspent conditional transfers</v>
          </cell>
          <cell r="C36">
            <v>19193349.610000003</v>
          </cell>
          <cell r="D36">
            <v>14656990.74</v>
          </cell>
          <cell r="E36">
            <v>1739158.1000000006</v>
          </cell>
          <cell r="F36">
            <v>3657000</v>
          </cell>
          <cell r="G36">
            <v>1631770</v>
          </cell>
          <cell r="H36">
            <v>1631770</v>
          </cell>
          <cell r="I36">
            <v>1631770</v>
          </cell>
          <cell r="J36">
            <v>1631770</v>
          </cell>
          <cell r="K36">
            <v>1631770</v>
          </cell>
          <cell r="L36">
            <v>1631770</v>
          </cell>
        </row>
        <row r="38">
          <cell r="C38">
            <v>61737501.429999992</v>
          </cell>
          <cell r="D38">
            <v>40043940.710000001</v>
          </cell>
          <cell r="E38">
            <v>38519631.230000004</v>
          </cell>
          <cell r="F38">
            <v>44786665.296378344</v>
          </cell>
          <cell r="G38">
            <v>41312504.062464625</v>
          </cell>
          <cell r="H38">
            <v>41312504.062464625</v>
          </cell>
          <cell r="I38">
            <v>41312504.062464625</v>
          </cell>
          <cell r="J38">
            <v>43048218.954459086</v>
          </cell>
          <cell r="K38">
            <v>44898702.877554752</v>
          </cell>
          <cell r="L38">
            <v>46895847.8105326</v>
          </cell>
        </row>
        <row r="43">
          <cell r="C43">
            <v>3655541.9900000007</v>
          </cell>
          <cell r="D43">
            <v>4460893.72</v>
          </cell>
          <cell r="E43">
            <v>7220698.21</v>
          </cell>
          <cell r="F43">
            <v>4089657.9265004164</v>
          </cell>
          <cell r="G43">
            <v>10258285.58629947</v>
          </cell>
          <cell r="H43">
            <v>10258285.58629947</v>
          </cell>
          <cell r="I43">
            <v>10258285.58629947</v>
          </cell>
          <cell r="J43">
            <v>8887460.2757412698</v>
          </cell>
          <cell r="K43">
            <v>7620597.0150642684</v>
          </cell>
          <cell r="L43">
            <v>6636476.0557838362</v>
          </cell>
        </row>
        <row r="50">
          <cell r="C50">
            <v>3450000</v>
          </cell>
          <cell r="D50">
            <v>4328627</v>
          </cell>
          <cell r="E50">
            <v>4674919</v>
          </cell>
          <cell r="F50">
            <v>5061958.7460288005</v>
          </cell>
          <cell r="G50">
            <v>5039562.6819999991</v>
          </cell>
          <cell r="H50">
            <v>5039562.6819999991</v>
          </cell>
          <cell r="I50">
            <v>5039562.6819999991</v>
          </cell>
          <cell r="J50">
            <v>5412490.3204679983</v>
          </cell>
          <cell r="K50">
            <v>5802189.6235416932</v>
          </cell>
          <cell r="L50">
            <v>6219947.276436694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</sheetData>
      <sheetData sheetId="37">
        <row r="7">
          <cell r="A7" t="str">
            <v>National Government:</v>
          </cell>
        </row>
        <row r="8">
          <cell r="A8" t="str">
            <v>Local Government Equitable Share</v>
          </cell>
        </row>
        <row r="9">
          <cell r="A9" t="str">
            <v xml:space="preserve">  Finance Management</v>
          </cell>
        </row>
        <row r="10">
          <cell r="A10" t="str">
            <v xml:space="preserve">  Municipal Systems Improvement</v>
          </cell>
        </row>
        <row r="11">
          <cell r="A11" t="str">
            <v xml:space="preserve">  Department of Water Affairs</v>
          </cell>
        </row>
        <row r="12">
          <cell r="A12" t="str">
            <v>EPWP Incentive</v>
          </cell>
        </row>
        <row r="15">
          <cell r="A15" t="str">
            <v>Special Contribution Councillors</v>
          </cell>
        </row>
        <row r="16">
          <cell r="A16" t="str">
            <v>Provincial Government:</v>
          </cell>
        </row>
        <row r="17">
          <cell r="A17" t="str">
            <v>Health subsidy</v>
          </cell>
        </row>
        <row r="18">
          <cell r="A18" t="str">
            <v>IDP</v>
          </cell>
        </row>
        <row r="22">
          <cell r="A22" t="str">
            <v>LIBRARIES</v>
          </cell>
        </row>
        <row r="23">
          <cell r="A23" t="str">
            <v>District Municipality:</v>
          </cell>
        </row>
        <row r="24">
          <cell r="A24" t="str">
            <v>Environmental health</v>
          </cell>
        </row>
        <row r="26">
          <cell r="A26" t="str">
            <v>Other grant providers:</v>
          </cell>
        </row>
        <row r="32">
          <cell r="A32" t="str">
            <v>National Government:</v>
          </cell>
        </row>
        <row r="33">
          <cell r="A33" t="str">
            <v xml:space="preserve"> Municipal Infrastructure Grant (MIG)</v>
          </cell>
        </row>
        <row r="34">
          <cell r="A34" t="str">
            <v>Regional Bulk Infrastructure</v>
          </cell>
        </row>
        <row r="38">
          <cell r="A38" t="str">
            <v xml:space="preserve">  Other capital transfers/grants [insert desc]</v>
          </cell>
        </row>
        <row r="39">
          <cell r="A39" t="str">
            <v>Provincial Government:</v>
          </cell>
        </row>
        <row r="40">
          <cell r="A40" t="str">
            <v>DWAF</v>
          </cell>
        </row>
        <row r="41">
          <cell r="A41" t="str">
            <v>District Municipality:</v>
          </cell>
        </row>
        <row r="42">
          <cell r="A42" t="str">
            <v>Environmental health</v>
          </cell>
        </row>
        <row r="44">
          <cell r="A44" t="str">
            <v>Other grant providers:</v>
          </cell>
        </row>
        <row r="45">
          <cell r="A45" t="str">
            <v>LED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8"/>
  <sheetViews>
    <sheetView workbookViewId="0">
      <selection sqref="A1:C1"/>
    </sheetView>
  </sheetViews>
  <sheetFormatPr defaultRowHeight="12.75"/>
  <cols>
    <col min="1" max="1" width="30.7109375" style="1104" customWidth="1"/>
    <col min="2" max="11" width="9" style="1104" customWidth="1"/>
    <col min="12" max="14" width="7.7109375" style="1104" customWidth="1"/>
    <col min="15" max="16384" width="9.140625" style="1104"/>
  </cols>
  <sheetData>
    <row r="1" spans="1:12" ht="13.5">
      <c r="A1" s="1406" t="str">
        <f>muni&amp;" - "&amp;Approve1</f>
        <v>EC106 Sundays River Valley - Table A1 Budget Summary</v>
      </c>
      <c r="B1" s="1407"/>
      <c r="C1" s="1407"/>
      <c r="D1" s="1103"/>
      <c r="E1" s="1103"/>
      <c r="F1" s="1103"/>
      <c r="G1" s="1103"/>
      <c r="H1" s="1103"/>
      <c r="I1" s="1103"/>
      <c r="J1" s="1103"/>
      <c r="K1" s="1103"/>
    </row>
    <row r="2" spans="1:12">
      <c r="A2" s="1105" t="str">
        <f>desc</f>
        <v>Description</v>
      </c>
      <c r="B2" s="1107" t="str">
        <f>head1b</f>
        <v>2008/9</v>
      </c>
      <c r="C2" s="1106" t="str">
        <f>head1A</f>
        <v>2009/10</v>
      </c>
      <c r="D2" s="1108" t="str">
        <f>Head1</f>
        <v>2010/11</v>
      </c>
      <c r="E2" s="1404" t="str">
        <f>Head2</f>
        <v>Current Year 2011/12</v>
      </c>
      <c r="F2" s="1405"/>
      <c r="G2" s="1405"/>
      <c r="H2" s="1405"/>
      <c r="I2" s="1401" t="str">
        <f>Head3</f>
        <v>2012/13 Medium Term Revenue &amp; Expenditure Framework</v>
      </c>
      <c r="J2" s="1402"/>
      <c r="K2" s="1403"/>
    </row>
    <row r="3" spans="1:12" ht="25.5">
      <c r="A3" s="1109" t="s">
        <v>6</v>
      </c>
      <c r="B3" s="1110" t="str">
        <f>Head5</f>
        <v>Audited Outcome</v>
      </c>
      <c r="C3" s="1111" t="str">
        <f>Head5</f>
        <v>Audited Outcome</v>
      </c>
      <c r="D3" s="1112" t="str">
        <f>Head5</f>
        <v>Audited Outcome</v>
      </c>
      <c r="E3" s="1110" t="str">
        <f>Head6</f>
        <v>Original Budget</v>
      </c>
      <c r="F3" s="1111" t="str">
        <f>Head7</f>
        <v>Adjusted Budget</v>
      </c>
      <c r="G3" s="1112" t="str">
        <f>Head8</f>
        <v>Full Year Forecast</v>
      </c>
      <c r="H3" s="1113" t="str">
        <f>Head5b</f>
        <v>Pre-audit outcome</v>
      </c>
      <c r="I3" s="1110" t="str">
        <f>Head9</f>
        <v>Budget Year 2012/13</v>
      </c>
      <c r="J3" s="1111" t="str">
        <f>Head10</f>
        <v>Budget Year +1 2013/14</v>
      </c>
      <c r="K3" s="1112" t="str">
        <f>Head11</f>
        <v>Budget Year +2 2014/15</v>
      </c>
    </row>
    <row r="4" spans="1:12">
      <c r="A4" s="1114" t="s">
        <v>15</v>
      </c>
      <c r="B4" s="1115"/>
      <c r="C4" s="1116"/>
      <c r="D4" s="1117"/>
      <c r="E4" s="1115"/>
      <c r="F4" s="1116"/>
      <c r="G4" s="1117"/>
      <c r="H4" s="1118"/>
      <c r="I4" s="1115"/>
      <c r="J4" s="1116"/>
      <c r="K4" s="1117"/>
    </row>
    <row r="5" spans="1:12">
      <c r="A5" s="1119" t="s">
        <v>16</v>
      </c>
      <c r="B5" s="1120">
        <f>'[2]A4-FinPerf RE'!C5+'[2]A4-FinPerf RE'!C6</f>
        <v>6775498.3600000003</v>
      </c>
      <c r="C5" s="1121">
        <f>'[2]A4-FinPerf RE'!D5+'[2]A4-FinPerf RE'!D6</f>
        <v>8801214.7899999991</v>
      </c>
      <c r="D5" s="1122">
        <f>'[2]A4-FinPerf RE'!E5+'[2]A4-FinPerf RE'!E6</f>
        <v>12413157</v>
      </c>
      <c r="E5" s="1123">
        <f>'[2]A4-FinPerf RE'!F5+'[2]A4-FinPerf RE'!F6</f>
        <v>14718961.006799998</v>
      </c>
      <c r="F5" s="1121">
        <f>'[2]A4-FinPerf RE'!G5+'[2]A4-FinPerf RE'!G6</f>
        <v>14718961.006799998</v>
      </c>
      <c r="G5" s="1124">
        <f>'[2]A4-FinPerf RE'!H5+'[2]A4-FinPerf RE'!H6</f>
        <v>14718961.006799998</v>
      </c>
      <c r="H5" s="1125">
        <f>'[2]A4-FinPerf RE'!I5+'[2]A4-FinPerf RE'!I6</f>
        <v>14718961.006799998</v>
      </c>
      <c r="I5" s="1123">
        <f>'[2]A4-FinPerf RE'!J5+'[2]A4-FinPerf RE'!J6</f>
        <v>16045784.331560003</v>
      </c>
      <c r="J5" s="1121">
        <f>'[2]A4-FinPerf RE'!K5+'[2]A4-FinPerf RE'!K6</f>
        <v>17330139.860169601</v>
      </c>
      <c r="K5" s="1124">
        <f>'[2]A4-FinPerf RE'!L5+'[2]A4-FinPerf RE'!L6</f>
        <v>18717320.037097298</v>
      </c>
      <c r="L5" s="1126"/>
    </row>
    <row r="6" spans="1:12">
      <c r="A6" s="1119" t="s">
        <v>17</v>
      </c>
      <c r="B6" s="1121">
        <f>SUM('[2]A4-FinPerf RE'!C7:C11)</f>
        <v>16893118</v>
      </c>
      <c r="C6" s="1121">
        <f>SUM('[2]A4-FinPerf RE'!D7:D11)</f>
        <v>21473246.77</v>
      </c>
      <c r="D6" s="1122">
        <f>SUM('[2]A4-FinPerf RE'!E7:E11)</f>
        <v>31974758.450000003</v>
      </c>
      <c r="E6" s="1123">
        <f>SUM('[2]A4-FinPerf RE'!F7:F11)</f>
        <v>29764029.100992799</v>
      </c>
      <c r="F6" s="1121">
        <f>SUM('[2]A4-FinPerf RE'!G7:G11)</f>
        <v>33433839.100992799</v>
      </c>
      <c r="G6" s="1124">
        <f>SUM('[2]A4-FinPerf RE'!H7:H11)</f>
        <v>33433839.100992799</v>
      </c>
      <c r="H6" s="1125">
        <f>SUM('[2]A4-FinPerf RE'!I7:I11)</f>
        <v>33433839.100992799</v>
      </c>
      <c r="I6" s="1123">
        <f>SUM('[2]A4-FinPerf RE'!J7:J11)</f>
        <v>35631890.885700002</v>
      </c>
      <c r="J6" s="1121">
        <f>SUM('[2]A4-FinPerf RE'!K7:K11)</f>
        <v>38970728.280621</v>
      </c>
      <c r="K6" s="1124">
        <f>SUM('[2]A4-FinPerf RE'!L7:L11)</f>
        <v>42504637.781684175</v>
      </c>
    </row>
    <row r="7" spans="1:12">
      <c r="A7" s="1119" t="s">
        <v>18</v>
      </c>
      <c r="B7" s="1121">
        <f>'[2]A4-FinPerf RE'!C13</f>
        <v>1671460.2000000002</v>
      </c>
      <c r="C7" s="1121">
        <f>'[2]A4-FinPerf RE'!D13</f>
        <v>233430.50000000047</v>
      </c>
      <c r="D7" s="1122">
        <f>'[2]A4-FinPerf RE'!E13</f>
        <v>286863</v>
      </c>
      <c r="E7" s="1123">
        <f>'[2]A4-FinPerf RE'!F13</f>
        <v>199892.193</v>
      </c>
      <c r="F7" s="1121">
        <f>'[2]A4-FinPerf RE'!G13</f>
        <v>199892.193</v>
      </c>
      <c r="G7" s="1124">
        <f>'[2]A4-FinPerf RE'!H13</f>
        <v>199892.193</v>
      </c>
      <c r="H7" s="1125">
        <f>'[2]A4-FinPerf RE'!I13</f>
        <v>199892.193</v>
      </c>
      <c r="I7" s="1123">
        <f>'[2]A4-FinPerf RE'!J13</f>
        <v>211885.72458000001</v>
      </c>
      <c r="J7" s="1121">
        <f>'[2]A4-FinPerf RE'!K13</f>
        <v>223115.66798273998</v>
      </c>
      <c r="K7" s="1124">
        <f>'[2]A4-FinPerf RE'!L13</f>
        <v>234048.33571389422</v>
      </c>
    </row>
    <row r="8" spans="1:12">
      <c r="A8" s="1119" t="s">
        <v>19</v>
      </c>
      <c r="B8" s="1121">
        <f>'[2]A4-FinPerf RE'!C19</f>
        <v>139317363.84999999</v>
      </c>
      <c r="C8" s="1121">
        <f>'[2]A4-FinPerf RE'!D19</f>
        <v>29459991.289999999</v>
      </c>
      <c r="D8" s="1122">
        <f>'[2]A4-FinPerf RE'!E19</f>
        <v>36501860</v>
      </c>
      <c r="E8" s="1123">
        <f>'[2]A4-FinPerf RE'!F19</f>
        <v>36283151</v>
      </c>
      <c r="F8" s="1121">
        <f>'[2]A4-FinPerf RE'!G19</f>
        <v>36658151</v>
      </c>
      <c r="G8" s="1124">
        <f>'[2]A4-FinPerf RE'!H19</f>
        <v>36658151</v>
      </c>
      <c r="H8" s="1125">
        <f>'[2]A4-FinPerf RE'!I19</f>
        <v>36658151</v>
      </c>
      <c r="I8" s="1123">
        <f>'[2]A4-FinPerf RE'!J19</f>
        <v>43009880.060000002</v>
      </c>
      <c r="J8" s="1121">
        <f>'[2]A4-FinPerf RE'!K19</f>
        <v>45170080.88318</v>
      </c>
      <c r="K8" s="1124">
        <f>'[2]A4-FinPerf RE'!L19</f>
        <v>48801452.686455823</v>
      </c>
    </row>
    <row r="9" spans="1:12">
      <c r="A9" s="1119" t="s">
        <v>20</v>
      </c>
      <c r="B9" s="1121">
        <f>'[2]A4-FinPerf RE'!C12+'[2]A4-FinPerf RE'!C14+'[2]A4-FinPerf RE'!C15+'[2]A4-FinPerf RE'!C16+'[2]A4-FinPerf RE'!C17+'[2]A4-FinPerf RE'!C18+'[2]A4-FinPerf RE'!C20+'[2]A4-FinPerf RE'!C21</f>
        <v>12362438.27</v>
      </c>
      <c r="C9" s="1121">
        <f>'[2]A4-FinPerf RE'!D12+'[2]A4-FinPerf RE'!D14+'[2]A4-FinPerf RE'!D15+'[2]A4-FinPerf RE'!D16+'[2]A4-FinPerf RE'!D17+'[2]A4-FinPerf RE'!D18+'[2]A4-FinPerf RE'!D20+'[2]A4-FinPerf RE'!D21</f>
        <v>10621375.51</v>
      </c>
      <c r="D9" s="1122">
        <f>'[2]A4-FinPerf RE'!E12+'[2]A4-FinPerf RE'!E14+'[2]A4-FinPerf RE'!E15+'[2]A4-FinPerf RE'!E16+'[2]A4-FinPerf RE'!E17+'[2]A4-FinPerf RE'!E18+'[2]A4-FinPerf RE'!E20+'[2]A4-FinPerf RE'!E21</f>
        <v>11918547</v>
      </c>
      <c r="E9" s="1123">
        <f>'[2]A4-FinPerf RE'!F12+'[2]A4-FinPerf RE'!F14+'[2]A4-FinPerf RE'!F15+'[2]A4-FinPerf RE'!F16+'[2]A4-FinPerf RE'!F17+'[2]A4-FinPerf RE'!F18+'[2]A4-FinPerf RE'!F20+'[2]A4-FinPerf RE'!F21</f>
        <v>11536801.901869355</v>
      </c>
      <c r="F9" s="1121">
        <f>'[2]A4-FinPerf RE'!G12+'[2]A4-FinPerf RE'!G14+'[2]A4-FinPerf RE'!G15+'[2]A4-FinPerf RE'!G16+'[2]A4-FinPerf RE'!G17+'[2]A4-FinPerf RE'!G18+'[2]A4-FinPerf RE'!G20+'[2]A4-FinPerf RE'!G21</f>
        <v>13536801.901869355</v>
      </c>
      <c r="G9" s="1124">
        <f>'[2]A4-FinPerf RE'!H12+'[2]A4-FinPerf RE'!H14+'[2]A4-FinPerf RE'!H15+'[2]A4-FinPerf RE'!H16+'[2]A4-FinPerf RE'!H17+'[2]A4-FinPerf RE'!H18+'[2]A4-FinPerf RE'!H20+'[2]A4-FinPerf RE'!H21</f>
        <v>13536801.901869355</v>
      </c>
      <c r="H9" s="1125">
        <f>'[2]A4-FinPerf RE'!I12+'[2]A4-FinPerf RE'!I14+'[2]A4-FinPerf RE'!I15+'[2]A4-FinPerf RE'!I16+'[2]A4-FinPerf RE'!I17+'[2]A4-FinPerf RE'!I18+'[2]A4-FinPerf RE'!I20+'[2]A4-FinPerf RE'!I21</f>
        <v>13536801.901869355</v>
      </c>
      <c r="I9" s="1123">
        <f>'[2]A4-FinPerf RE'!J12+'[2]A4-FinPerf RE'!J14+'[2]A4-FinPerf RE'!J15+'[2]A4-FinPerf RE'!J16+'[2]A4-FinPerf RE'!J17+'[2]A4-FinPerf RE'!J18+'[2]A4-FinPerf RE'!J20+'[2]A4-FinPerf RE'!J21</f>
        <v>12316281.765322272</v>
      </c>
      <c r="J9" s="1121">
        <f>'[2]A4-FinPerf RE'!K12+'[2]A4-FinPerf RE'!K14+'[2]A4-FinPerf RE'!K15+'[2]A4-FinPerf RE'!K16+'[2]A4-FinPerf RE'!K17+'[2]A4-FinPerf RE'!K18+'[2]A4-FinPerf RE'!K20+'[2]A4-FinPerf RE'!K21</f>
        <v>13211314.228984635</v>
      </c>
      <c r="K9" s="1124">
        <f>'[2]A4-FinPerf RE'!L12+'[2]A4-FinPerf RE'!L14+'[2]A4-FinPerf RE'!L15+'[2]A4-FinPerf RE'!L16+'[2]A4-FinPerf RE'!L17+'[2]A4-FinPerf RE'!L18+'[2]A4-FinPerf RE'!L20+'[2]A4-FinPerf RE'!L21</f>
        <v>14149486.902615916</v>
      </c>
    </row>
    <row r="10" spans="1:12" ht="25.5">
      <c r="A10" s="1127" t="str">
        <f>'[2]A4-FinPerf RE'!A22</f>
        <v>Total Revenue (excluding capital transfers and contributions)</v>
      </c>
      <c r="B10" s="1128">
        <f t="shared" ref="B10:K10" si="0">SUM(B5:B9)</f>
        <v>177019878.68000001</v>
      </c>
      <c r="C10" s="1128">
        <f t="shared" si="0"/>
        <v>70589258.859999999</v>
      </c>
      <c r="D10" s="1129">
        <f t="shared" si="0"/>
        <v>93095185.450000003</v>
      </c>
      <c r="E10" s="1130">
        <f t="shared" si="0"/>
        <v>92502835.202662155</v>
      </c>
      <c r="F10" s="1128">
        <f t="shared" si="0"/>
        <v>98547645.202662155</v>
      </c>
      <c r="G10" s="1131">
        <f t="shared" si="0"/>
        <v>98547645.202662155</v>
      </c>
      <c r="H10" s="1132">
        <f t="shared" si="0"/>
        <v>98547645.202662155</v>
      </c>
      <c r="I10" s="1130">
        <f t="shared" si="0"/>
        <v>107215722.76716226</v>
      </c>
      <c r="J10" s="1128">
        <f t="shared" si="0"/>
        <v>114905378.92093797</v>
      </c>
      <c r="K10" s="1131">
        <f t="shared" si="0"/>
        <v>124406945.74356711</v>
      </c>
    </row>
    <row r="11" spans="1:12">
      <c r="A11" s="1119" t="s">
        <v>22</v>
      </c>
      <c r="B11" s="1121">
        <f>'[2]A4-FinPerf RE'!C25</f>
        <v>22196499</v>
      </c>
      <c r="C11" s="1121">
        <f>'[2]A4-FinPerf RE'!D25</f>
        <v>24139119.300000004</v>
      </c>
      <c r="D11" s="1122">
        <f>'[2]A4-FinPerf RE'!E25</f>
        <v>24576487</v>
      </c>
      <c r="E11" s="1123">
        <f>'[2]A4-FinPerf RE'!F25</f>
        <v>29303979.553619634</v>
      </c>
      <c r="F11" s="1121">
        <f>'[2]A4-FinPerf RE'!G25</f>
        <v>27975468.553619634</v>
      </c>
      <c r="G11" s="1124">
        <f>'[2]A4-FinPerf RE'!H25</f>
        <v>27975468.553619634</v>
      </c>
      <c r="H11" s="1125">
        <f>'[2]A4-FinPerf RE'!I25</f>
        <v>27975468.553619634</v>
      </c>
      <c r="I11" s="1123">
        <f>'[2]A4-FinPerf RE'!J25</f>
        <v>32429013.761117168</v>
      </c>
      <c r="J11" s="1121">
        <f>'[2]A4-FinPerf RE'!K25</f>
        <v>34422534.1136932</v>
      </c>
      <c r="K11" s="1124">
        <f>'[2]A4-FinPerf RE'!L25</f>
        <v>36477845.413966574</v>
      </c>
    </row>
    <row r="12" spans="1:12">
      <c r="A12" s="1119" t="s">
        <v>23</v>
      </c>
      <c r="B12" s="1121">
        <f>'[2]A4-FinPerf RE'!C26</f>
        <v>2617120</v>
      </c>
      <c r="C12" s="1121">
        <f>'[2]A4-FinPerf RE'!D26</f>
        <v>2745082.67</v>
      </c>
      <c r="D12" s="1122">
        <f>'[2]A4-FinPerf RE'!E26</f>
        <v>2896259</v>
      </c>
      <c r="E12" s="1123">
        <f>'[2]A4-FinPerf RE'!F26</f>
        <v>3826025.0087999995</v>
      </c>
      <c r="F12" s="1121">
        <f>'[2]A4-FinPerf RE'!G26</f>
        <v>3826025.0087999995</v>
      </c>
      <c r="G12" s="1124">
        <f>'[2]A4-FinPerf RE'!H26</f>
        <v>3826025.0087999995</v>
      </c>
      <c r="H12" s="1125">
        <f>'[2]A4-FinPerf RE'!I26</f>
        <v>3826025.0087999995</v>
      </c>
      <c r="I12" s="1123">
        <f>'[2]A4-FinPerf RE'!J26</f>
        <v>4529524.2069000006</v>
      </c>
      <c r="J12" s="1121">
        <f>'[2]A4-FinPerf RE'!K26</f>
        <v>4801295.659314001</v>
      </c>
      <c r="K12" s="1124">
        <f>'[2]A4-FinPerf RE'!L26</f>
        <v>5089373.3988728411</v>
      </c>
    </row>
    <row r="13" spans="1:12">
      <c r="A13" s="1119" t="s">
        <v>24</v>
      </c>
      <c r="B13" s="1121">
        <f>'[2]A4-FinPerf RE'!C28</f>
        <v>0</v>
      </c>
      <c r="C13" s="1121">
        <f>'[2]A4-FinPerf RE'!D28</f>
        <v>16809954.109999999</v>
      </c>
      <c r="D13" s="1122">
        <f>'[2]A4-FinPerf RE'!E28</f>
        <v>17098687</v>
      </c>
      <c r="E13" s="1123">
        <f>'[2]A4-FinPerf RE'!F28</f>
        <v>4700000</v>
      </c>
      <c r="F13" s="1121">
        <f>'[2]A4-FinPerf RE'!G28</f>
        <v>15000000</v>
      </c>
      <c r="G13" s="1124">
        <f>'[2]A4-FinPerf RE'!H28</f>
        <v>15000000</v>
      </c>
      <c r="H13" s="1125">
        <f>'[2]A4-FinPerf RE'!I28</f>
        <v>15000000</v>
      </c>
      <c r="I13" s="1123">
        <f>'[2]A4-FinPerf RE'!J28</f>
        <v>7500000</v>
      </c>
      <c r="J13" s="1121">
        <f>'[2]A4-FinPerf RE'!K28</f>
        <v>7500000</v>
      </c>
      <c r="K13" s="1124">
        <f>'[2]A4-FinPerf RE'!L28</f>
        <v>7500000</v>
      </c>
    </row>
    <row r="14" spans="1:12">
      <c r="A14" s="1119" t="s">
        <v>25</v>
      </c>
      <c r="B14" s="1121">
        <f>'[2]A4-FinPerf RE'!C29</f>
        <v>766669</v>
      </c>
      <c r="C14" s="1121">
        <f>'[2]A4-FinPerf RE'!D29</f>
        <v>1252156.5200000003</v>
      </c>
      <c r="D14" s="1122">
        <f>'[2]A4-FinPerf RE'!E29</f>
        <v>1330194</v>
      </c>
      <c r="E14" s="1123">
        <f>'[2]A4-FinPerf RE'!F29</f>
        <v>682520</v>
      </c>
      <c r="F14" s="1121">
        <f>'[2]A4-FinPerf RE'!G29</f>
        <v>682520</v>
      </c>
      <c r="G14" s="1124">
        <f>'[2]A4-FinPerf RE'!H29</f>
        <v>682520</v>
      </c>
      <c r="H14" s="1125">
        <f>'[2]A4-FinPerf RE'!I29</f>
        <v>682520</v>
      </c>
      <c r="I14" s="1123">
        <f>'[2]A4-FinPerf RE'!J29</f>
        <v>723470.86249175994</v>
      </c>
      <c r="J14" s="1121">
        <f>'[2]A4-FinPerf RE'!K29</f>
        <v>761814.81820382318</v>
      </c>
      <c r="K14" s="1124">
        <f>'[2]A4-FinPerf RE'!L29</f>
        <v>799143.74429581058</v>
      </c>
    </row>
    <row r="15" spans="1:12">
      <c r="A15" s="1119" t="s">
        <v>26</v>
      </c>
      <c r="B15" s="1121">
        <f>'[2]A4-FinPerf RE'!C30+'[2]A4-FinPerf RE'!C31</f>
        <v>5088708</v>
      </c>
      <c r="C15" s="1121">
        <f>'[2]A4-FinPerf RE'!D30+'[2]A4-FinPerf RE'!D31</f>
        <v>7622220.7599999998</v>
      </c>
      <c r="D15" s="1122">
        <f>'[2]A4-FinPerf RE'!E30+'[2]A4-FinPerf RE'!E31</f>
        <v>9180763</v>
      </c>
      <c r="E15" s="1123">
        <f>'[2]A4-FinPerf RE'!F30+'[2]A4-FinPerf RE'!F31</f>
        <v>10981134</v>
      </c>
      <c r="F15" s="1121">
        <f>'[2]A4-FinPerf RE'!G30+'[2]A4-FinPerf RE'!G31</f>
        <v>10781134</v>
      </c>
      <c r="G15" s="1124">
        <f>'[2]A4-FinPerf RE'!H30+'[2]A4-FinPerf RE'!H31</f>
        <v>10781134</v>
      </c>
      <c r="H15" s="1125">
        <f>'[2]A4-FinPerf RE'!I30+'[2]A4-FinPerf RE'!I31</f>
        <v>10781134</v>
      </c>
      <c r="I15" s="1123">
        <f>'[2]A4-FinPerf RE'!J30+'[2]A4-FinPerf RE'!J31</f>
        <v>12424325.249977527</v>
      </c>
      <c r="J15" s="1121">
        <f>'[2]A4-FinPerf RE'!K30+'[2]A4-FinPerf RE'!K31</f>
        <v>13996759.462474605</v>
      </c>
      <c r="K15" s="1124">
        <f>'[2]A4-FinPerf RE'!L30+'[2]A4-FinPerf RE'!L31</f>
        <v>15769008.253966302</v>
      </c>
    </row>
    <row r="16" spans="1:12">
      <c r="A16" s="1133" t="s">
        <v>27</v>
      </c>
      <c r="B16" s="1121">
        <f>'[2]A4-FinPerf RE'!C33</f>
        <v>1788054</v>
      </c>
      <c r="C16" s="1121">
        <f>'[2]A4-FinPerf RE'!D33</f>
        <v>1162174</v>
      </c>
      <c r="D16" s="1122">
        <f>'[2]A4-FinPerf RE'!E33</f>
        <v>2857495</v>
      </c>
      <c r="E16" s="1123">
        <f>'[2]A4-FinPerf RE'!F33</f>
        <v>2626800</v>
      </c>
      <c r="F16" s="1121">
        <f>'[2]A4-FinPerf RE'!G33</f>
        <v>2892800</v>
      </c>
      <c r="G16" s="1124">
        <f>'[2]A4-FinPerf RE'!H33</f>
        <v>2892800</v>
      </c>
      <c r="H16" s="1125">
        <f>'[2]A4-FinPerf RE'!I33</f>
        <v>2892800</v>
      </c>
      <c r="I16" s="1123">
        <f>'[2]A4-FinPerf RE'!J33</f>
        <v>3633628</v>
      </c>
      <c r="J16" s="1121">
        <f>'[2]A4-FinPerf RE'!K33</f>
        <v>3826210.284</v>
      </c>
      <c r="K16" s="1124">
        <f>'[2]A4-FinPerf RE'!L33</f>
        <v>4013694.5879159998</v>
      </c>
    </row>
    <row r="17" spans="1:12">
      <c r="A17" s="1119" t="s">
        <v>28</v>
      </c>
      <c r="B17" s="1121">
        <f>'[2]A4-FinPerf RE'!C27+'[2]A4-FinPerf RE'!C32+'[2]A4-FinPerf RE'!C34+'[2]A4-FinPerf RE'!C35</f>
        <v>156746111</v>
      </c>
      <c r="C17" s="1121">
        <f>'[2]A4-FinPerf RE'!D27+'[2]A4-FinPerf RE'!D32+'[2]A4-FinPerf RE'!D34+'[2]A4-FinPerf RE'!D35</f>
        <v>37278693.850000001</v>
      </c>
      <c r="D17" s="1122">
        <f>'[2]A4-FinPerf RE'!E27+'[2]A4-FinPerf RE'!E32+'[2]A4-FinPerf RE'!E34+'[2]A4-FinPerf RE'!E35</f>
        <v>31263808.199999999</v>
      </c>
      <c r="E17" s="1123">
        <f>'[2]A4-FinPerf RE'!F27+'[2]A4-FinPerf RE'!F32+'[2]A4-FinPerf RE'!F34+'[2]A4-FinPerf RE'!F35</f>
        <v>38970288.408001125</v>
      </c>
      <c r="F17" s="1121">
        <f>'[2]A4-FinPerf RE'!G27+'[2]A4-FinPerf RE'!G32+'[2]A4-FinPerf RE'!G34+'[2]A4-FinPerf RE'!G35</f>
        <v>41290400.408001125</v>
      </c>
      <c r="G17" s="1124">
        <f>'[2]A4-FinPerf RE'!H27+'[2]A4-FinPerf RE'!H32+'[2]A4-FinPerf RE'!H34+'[2]A4-FinPerf RE'!H35</f>
        <v>41290400.408001125</v>
      </c>
      <c r="H17" s="1125">
        <f>'[2]A4-FinPerf RE'!I27+'[2]A4-FinPerf RE'!I32+'[2]A4-FinPerf RE'!I34+'[2]A4-FinPerf RE'!I35</f>
        <v>41290400.408001125</v>
      </c>
      <c r="I17" s="1123">
        <f>'[2]A4-FinPerf RE'!J27+'[2]A4-FinPerf RE'!J32+'[2]A4-FinPerf RE'!J34+'[2]A4-FinPerf RE'!J35</f>
        <v>49061974.269932322</v>
      </c>
      <c r="J17" s="1121">
        <f>'[2]A4-FinPerf RE'!K27+'[2]A4-FinPerf RE'!K32+'[2]A4-FinPerf RE'!K34+'[2]A4-FinPerf RE'!K35</f>
        <v>50922964.540351219</v>
      </c>
      <c r="K17" s="1124">
        <f>'[2]A4-FinPerf RE'!L27+'[2]A4-FinPerf RE'!L32+'[2]A4-FinPerf RE'!L34+'[2]A4-FinPerf RE'!L35</f>
        <v>53215491.076658271</v>
      </c>
    </row>
    <row r="18" spans="1:12">
      <c r="A18" s="1134" t="str">
        <f>'[2]A4-FinPerf RE'!A36</f>
        <v>Total Expenditure</v>
      </c>
      <c r="B18" s="1135">
        <f>SUM(B11:B17)</f>
        <v>189203161</v>
      </c>
      <c r="C18" s="1136">
        <f t="shared" ref="C18:K18" si="1">SUM(C11:C17)</f>
        <v>91009401.210000008</v>
      </c>
      <c r="D18" s="1137">
        <f t="shared" si="1"/>
        <v>89203693.200000003</v>
      </c>
      <c r="E18" s="1135">
        <f t="shared" si="1"/>
        <v>91090746.970420763</v>
      </c>
      <c r="F18" s="1136">
        <f t="shared" si="1"/>
        <v>102448347.97042076</v>
      </c>
      <c r="G18" s="1138">
        <f t="shared" si="1"/>
        <v>102448347.97042076</v>
      </c>
      <c r="H18" s="1139">
        <f t="shared" si="1"/>
        <v>102448347.97042076</v>
      </c>
      <c r="I18" s="1135">
        <f t="shared" si="1"/>
        <v>110301936.35041878</v>
      </c>
      <c r="J18" s="1136">
        <f t="shared" si="1"/>
        <v>116231578.87803686</v>
      </c>
      <c r="K18" s="1138">
        <f t="shared" si="1"/>
        <v>122864556.47567579</v>
      </c>
    </row>
    <row r="19" spans="1:12">
      <c r="A19" s="1134" t="str">
        <f>'[2]A4-FinPerf RE'!A38</f>
        <v>Surplus/(Deficit)</v>
      </c>
      <c r="B19" s="1140">
        <f t="shared" ref="B19:K19" si="2">B10-B18</f>
        <v>-12183282.319999993</v>
      </c>
      <c r="C19" s="1141">
        <f t="shared" si="2"/>
        <v>-20420142.350000009</v>
      </c>
      <c r="D19" s="1142">
        <f t="shared" si="2"/>
        <v>3891492.25</v>
      </c>
      <c r="E19" s="1140">
        <f t="shared" si="2"/>
        <v>1412088.2322413921</v>
      </c>
      <c r="F19" s="1141">
        <f t="shared" si="2"/>
        <v>-3900702.7677586079</v>
      </c>
      <c r="G19" s="1143">
        <f t="shared" si="2"/>
        <v>-3900702.7677586079</v>
      </c>
      <c r="H19" s="1144">
        <f t="shared" si="2"/>
        <v>-3900702.7677586079</v>
      </c>
      <c r="I19" s="1140">
        <f t="shared" si="2"/>
        <v>-3086213.5832565129</v>
      </c>
      <c r="J19" s="1141">
        <f t="shared" si="2"/>
        <v>-1326199.9570988864</v>
      </c>
      <c r="K19" s="1143">
        <f t="shared" si="2"/>
        <v>1542389.2678913176</v>
      </c>
    </row>
    <row r="20" spans="1:12">
      <c r="A20" s="1119" t="str">
        <f>'[2]A4-FinPerf RE'!A39</f>
        <v>Transfers recognised - capital</v>
      </c>
      <c r="B20" s="1123">
        <f>'[2]A4-FinPerf RE'!C39</f>
        <v>16603181.149999999</v>
      </c>
      <c r="C20" s="1121">
        <f>'[2]A4-FinPerf RE'!D39</f>
        <v>20888842.68</v>
      </c>
      <c r="D20" s="1122">
        <f>'[2]A4-FinPerf RE'!E39</f>
        <v>22968547</v>
      </c>
      <c r="E20" s="1123">
        <f>'[2]A4-FinPerf RE'!F39</f>
        <v>18529000</v>
      </c>
      <c r="F20" s="1121">
        <f>'[2]A4-FinPerf RE'!G39</f>
        <v>34529000</v>
      </c>
      <c r="G20" s="1124">
        <f>'[2]A4-FinPerf RE'!H39</f>
        <v>34529000</v>
      </c>
      <c r="H20" s="1125">
        <f>'[2]A4-FinPerf RE'!I39</f>
        <v>34529000</v>
      </c>
      <c r="I20" s="1123">
        <f>'[2]A4-FinPerf RE'!J39</f>
        <v>39476050</v>
      </c>
      <c r="J20" s="1121">
        <f>'[2]A4-FinPerf RE'!K39</f>
        <v>30175150</v>
      </c>
      <c r="K20" s="1124">
        <f>'[2]A4-FinPerf RE'!L39</f>
        <v>25080000</v>
      </c>
      <c r="L20" s="1126"/>
    </row>
    <row r="21" spans="1:12">
      <c r="A21" s="1119" t="s">
        <v>32</v>
      </c>
      <c r="B21" s="1145">
        <f>'[2]A4-FinPerf RE'!C40+'[2]A4-FinPerf RE'!C41</f>
        <v>0</v>
      </c>
      <c r="C21" s="1146">
        <f>'[2]A4-FinPerf RE'!D40+'[2]A4-FinPerf RE'!D41</f>
        <v>0</v>
      </c>
      <c r="D21" s="1147">
        <f>'[2]A4-FinPerf RE'!E40+'[2]A4-FinPerf RE'!E41</f>
        <v>0</v>
      </c>
      <c r="E21" s="1145">
        <f>'[2]A4-FinPerf RE'!F40+'[2]A4-FinPerf RE'!F41</f>
        <v>0</v>
      </c>
      <c r="F21" s="1146">
        <f>'[2]A4-FinPerf RE'!G40+'[2]A4-FinPerf RE'!G41</f>
        <v>0</v>
      </c>
      <c r="G21" s="1148">
        <f>'[2]A4-FinPerf RE'!H40+'[2]A4-FinPerf RE'!H41</f>
        <v>0</v>
      </c>
      <c r="H21" s="1149">
        <f>'[2]A4-FinPerf RE'!I40+'[2]A4-FinPerf RE'!I41</f>
        <v>0</v>
      </c>
      <c r="I21" s="1145">
        <f>'[2]A4-FinPerf RE'!J40+'[2]A4-FinPerf RE'!J41</f>
        <v>0</v>
      </c>
      <c r="J21" s="1146">
        <f>'[2]A4-FinPerf RE'!K40+'[2]A4-FinPerf RE'!K41</f>
        <v>0</v>
      </c>
      <c r="K21" s="1148">
        <f>'[2]A4-FinPerf RE'!L40+'[2]A4-FinPerf RE'!L41</f>
        <v>0</v>
      </c>
      <c r="L21" s="1126"/>
    </row>
    <row r="22" spans="1:12" ht="25.5">
      <c r="A22" s="1150" t="str">
        <f>'[2]A4-FinPerf RE'!A42</f>
        <v>Surplus/(Deficit) after capital transfers &amp; contributions</v>
      </c>
      <c r="B22" s="1151">
        <f>B19+SUM(B20:B21)</f>
        <v>4419898.8300000057</v>
      </c>
      <c r="C22" s="1152">
        <f t="shared" ref="C22:K22" si="3">C19+SUM(C20:C21)</f>
        <v>468700.32999999076</v>
      </c>
      <c r="D22" s="1153">
        <f t="shared" si="3"/>
        <v>26860039.25</v>
      </c>
      <c r="E22" s="1151">
        <f t="shared" si="3"/>
        <v>19941088.232241392</v>
      </c>
      <c r="F22" s="1152">
        <f t="shared" si="3"/>
        <v>30628297.232241392</v>
      </c>
      <c r="G22" s="1154">
        <f t="shared" si="3"/>
        <v>30628297.232241392</v>
      </c>
      <c r="H22" s="1155">
        <f t="shared" si="3"/>
        <v>30628297.232241392</v>
      </c>
      <c r="I22" s="1151">
        <f t="shared" si="3"/>
        <v>36389836.416743487</v>
      </c>
      <c r="J22" s="1152">
        <f t="shared" si="3"/>
        <v>28848950.042901114</v>
      </c>
      <c r="K22" s="1154">
        <f t="shared" si="3"/>
        <v>26622389.267891318</v>
      </c>
      <c r="L22" s="1126"/>
    </row>
    <row r="23" spans="1:12">
      <c r="A23" s="1156" t="str">
        <f>'[2]A4-FinPerf RE'!A47</f>
        <v>Share of surplus/ (deficit) of associate</v>
      </c>
      <c r="B23" s="1121">
        <f>'[2]A4-FinPerf RE'!C47</f>
        <v>0</v>
      </c>
      <c r="C23" s="1121">
        <f>'[2]A4-FinPerf RE'!D47</f>
        <v>0</v>
      </c>
      <c r="D23" s="1122">
        <f>'[2]A4-FinPerf RE'!E47</f>
        <v>0</v>
      </c>
      <c r="E23" s="1123">
        <f>'[2]A4-FinPerf RE'!F47</f>
        <v>0</v>
      </c>
      <c r="F23" s="1121">
        <f>'[2]A4-FinPerf RE'!G47</f>
        <v>0</v>
      </c>
      <c r="G23" s="1124">
        <f>'[2]A4-FinPerf RE'!H47</f>
        <v>0</v>
      </c>
      <c r="H23" s="1125">
        <f>'[2]A4-FinPerf RE'!I47</f>
        <v>0</v>
      </c>
      <c r="I23" s="1123">
        <f>'[2]A4-FinPerf RE'!J47</f>
        <v>0</v>
      </c>
      <c r="J23" s="1121">
        <f>'[2]A4-FinPerf RE'!K47</f>
        <v>0</v>
      </c>
      <c r="K23" s="1124">
        <f>'[2]A4-FinPerf RE'!L47</f>
        <v>0</v>
      </c>
    </row>
    <row r="24" spans="1:12">
      <c r="A24" s="1150" t="str">
        <f>'[2]A4-FinPerf RE'!A48</f>
        <v>Surplus/(Deficit) for the year</v>
      </c>
      <c r="B24" s="1140">
        <f>B22+B23</f>
        <v>4419898.8300000057</v>
      </c>
      <c r="C24" s="1141">
        <f t="shared" ref="C24:K24" si="4">C22+C23</f>
        <v>468700.32999999076</v>
      </c>
      <c r="D24" s="1142">
        <f t="shared" si="4"/>
        <v>26860039.25</v>
      </c>
      <c r="E24" s="1140">
        <f t="shared" si="4"/>
        <v>19941088.232241392</v>
      </c>
      <c r="F24" s="1141">
        <f t="shared" si="4"/>
        <v>30628297.232241392</v>
      </c>
      <c r="G24" s="1143">
        <f t="shared" si="4"/>
        <v>30628297.232241392</v>
      </c>
      <c r="H24" s="1144">
        <f t="shared" si="4"/>
        <v>30628297.232241392</v>
      </c>
      <c r="I24" s="1140">
        <f t="shared" si="4"/>
        <v>36389836.416743487</v>
      </c>
      <c r="J24" s="1141">
        <f t="shared" si="4"/>
        <v>28848950.042901114</v>
      </c>
      <c r="K24" s="1143">
        <f t="shared" si="4"/>
        <v>26622389.267891318</v>
      </c>
    </row>
    <row r="25" spans="1:12">
      <c r="A25" s="1157"/>
      <c r="B25" s="1115"/>
      <c r="C25" s="1116"/>
      <c r="D25" s="1117"/>
      <c r="E25" s="1115"/>
      <c r="F25" s="1116"/>
      <c r="G25" s="1117"/>
      <c r="H25" s="1118"/>
      <c r="I25" s="1115"/>
      <c r="J25" s="1116"/>
      <c r="K25" s="1117"/>
    </row>
    <row r="26" spans="1:12">
      <c r="A26" s="1158" t="s">
        <v>35</v>
      </c>
      <c r="B26" s="1159"/>
      <c r="C26" s="1160"/>
      <c r="D26" s="1161"/>
      <c r="E26" s="1159"/>
      <c r="F26" s="1160"/>
      <c r="G26" s="1161"/>
      <c r="H26" s="1162"/>
      <c r="I26" s="1159"/>
      <c r="J26" s="1160"/>
      <c r="K26" s="1161"/>
    </row>
    <row r="27" spans="1:12">
      <c r="A27" s="1134" t="s">
        <v>36</v>
      </c>
      <c r="B27" s="1120">
        <f>'[2]A5-Capex'!C63</f>
        <v>17580072.48</v>
      </c>
      <c r="C27" s="1121">
        <f>'[2]A5-Capex'!D63</f>
        <v>26406364.819999997</v>
      </c>
      <c r="D27" s="1122">
        <f>'[2]A5-Capex'!E63</f>
        <v>24065430.169999998</v>
      </c>
      <c r="E27" s="1123">
        <f>'[2]A5-Capex'!F63</f>
        <v>22827350</v>
      </c>
      <c r="F27" s="1121">
        <f>'[2]A5-Capex'!G63</f>
        <v>39492350</v>
      </c>
      <c r="G27" s="1124">
        <f>'[2]A5-Capex'!H63</f>
        <v>39492350</v>
      </c>
      <c r="H27" s="1125">
        <f>'[2]A5-Capex'!I63</f>
        <v>39492350</v>
      </c>
      <c r="I27" s="1123">
        <f>'[2]A5-Capex'!J63</f>
        <v>42186059</v>
      </c>
      <c r="J27" s="1121">
        <f>'[2]A5-Capex'!K63</f>
        <v>30175150</v>
      </c>
      <c r="K27" s="1124">
        <f>'[2]A5-Capex'!L63</f>
        <v>25080000</v>
      </c>
    </row>
    <row r="28" spans="1:12">
      <c r="A28" s="1163" t="s">
        <v>31</v>
      </c>
      <c r="B28" s="1120">
        <f>'[2]A5-Capex'!C70</f>
        <v>16558880</v>
      </c>
      <c r="C28" s="1121">
        <f>'[2]A5-Capex'!D70</f>
        <v>19161000</v>
      </c>
      <c r="D28" s="1122">
        <f>'[2]A5-Capex'!E70</f>
        <v>23569332</v>
      </c>
      <c r="E28" s="1123">
        <f>'[2]A5-Capex'!F70</f>
        <v>18537300</v>
      </c>
      <c r="F28" s="1121">
        <f>'[2]A5-Capex'!G70</f>
        <v>34537300</v>
      </c>
      <c r="G28" s="1124">
        <f>'[2]A5-Capex'!H70</f>
        <v>34537300</v>
      </c>
      <c r="H28" s="1125">
        <f>'[2]A5-Capex'!I70</f>
        <v>34537300</v>
      </c>
      <c r="I28" s="1123">
        <f>'[2]A5-Capex'!J70</f>
        <v>39476050</v>
      </c>
      <c r="J28" s="1121">
        <f>'[2]A5-Capex'!K70</f>
        <v>30175150</v>
      </c>
      <c r="K28" s="1124">
        <f>'[2]A5-Capex'!L70</f>
        <v>25080000</v>
      </c>
    </row>
    <row r="29" spans="1:12">
      <c r="A29" s="1119" t="str">
        <f>'[2]A5-Capex'!A71</f>
        <v>Public contributions &amp; donations</v>
      </c>
      <c r="B29" s="1120">
        <f>'[2]A5-Capex'!C71</f>
        <v>66150</v>
      </c>
      <c r="C29" s="1121">
        <f>'[2]A5-Capex'!D71</f>
        <v>4044947</v>
      </c>
      <c r="D29" s="1122">
        <f>'[2]A5-Capex'!E71</f>
        <v>316120</v>
      </c>
      <c r="E29" s="1123">
        <f>'[2]A5-Capex'!F71</f>
        <v>0</v>
      </c>
      <c r="F29" s="1121">
        <f>'[2]A5-Capex'!G71</f>
        <v>0</v>
      </c>
      <c r="G29" s="1124">
        <f>'[2]A5-Capex'!H71</f>
        <v>0</v>
      </c>
      <c r="H29" s="1125">
        <f>'[2]A5-Capex'!I71</f>
        <v>0</v>
      </c>
      <c r="I29" s="1123">
        <f>'[2]A5-Capex'!J71</f>
        <v>0</v>
      </c>
      <c r="J29" s="1121">
        <f>'[2]A5-Capex'!K71</f>
        <v>0</v>
      </c>
      <c r="K29" s="1124">
        <f>'[2]A5-Capex'!L71</f>
        <v>0</v>
      </c>
    </row>
    <row r="30" spans="1:12">
      <c r="A30" s="1119" t="str">
        <f>'[2]A5-Capex'!A72</f>
        <v>Borrowing</v>
      </c>
      <c r="B30" s="1120">
        <f>'[2]A5-Capex'!C72</f>
        <v>588081</v>
      </c>
      <c r="C30" s="1121">
        <f>'[2]A5-Capex'!D72</f>
        <v>2488469</v>
      </c>
      <c r="D30" s="1122">
        <f>'[2]A5-Capex'!E72</f>
        <v>0</v>
      </c>
      <c r="E30" s="1123">
        <f>'[2]A5-Capex'!F72</f>
        <v>2880000</v>
      </c>
      <c r="F30" s="1121">
        <f>'[2]A5-Capex'!G72</f>
        <v>4330000</v>
      </c>
      <c r="G30" s="1124">
        <f>'[2]A5-Capex'!H72</f>
        <v>4330000</v>
      </c>
      <c r="H30" s="1125">
        <f>'[2]A5-Capex'!I72</f>
        <v>4330000</v>
      </c>
      <c r="I30" s="1123">
        <f>'[2]A5-Capex'!J72</f>
        <v>300000</v>
      </c>
      <c r="J30" s="1121">
        <f>'[2]A5-Capex'!K72</f>
        <v>0</v>
      </c>
      <c r="K30" s="1124">
        <f>'[2]A5-Capex'!L72</f>
        <v>0</v>
      </c>
    </row>
    <row r="31" spans="1:12">
      <c r="A31" s="1119" t="str">
        <f>'[2]A5-Capex'!A73</f>
        <v>Internally generated funds</v>
      </c>
      <c r="B31" s="1120">
        <f>'[2]A5-Capex'!C73</f>
        <v>366961</v>
      </c>
      <c r="C31" s="1121">
        <f>'[2]A5-Capex'!D73</f>
        <v>711915</v>
      </c>
      <c r="D31" s="1122">
        <f>'[2]A5-Capex'!E73</f>
        <v>179979</v>
      </c>
      <c r="E31" s="1123">
        <f>'[2]A5-Capex'!F73</f>
        <v>1410050</v>
      </c>
      <c r="F31" s="1121">
        <f>'[2]A5-Capex'!G73</f>
        <v>625050</v>
      </c>
      <c r="G31" s="1124">
        <f>'[2]A5-Capex'!H73</f>
        <v>625050</v>
      </c>
      <c r="H31" s="1125">
        <f>'[2]A5-Capex'!I73</f>
        <v>625050</v>
      </c>
      <c r="I31" s="1123">
        <f>'[2]A5-Capex'!J73</f>
        <v>2410009</v>
      </c>
      <c r="J31" s="1121">
        <f>'[2]A5-Capex'!K73</f>
        <v>0</v>
      </c>
      <c r="K31" s="1124">
        <f>'[2]A5-Capex'!L73</f>
        <v>0</v>
      </c>
    </row>
    <row r="32" spans="1:12" s="1164" customFormat="1">
      <c r="A32" s="1134" t="s">
        <v>40</v>
      </c>
      <c r="B32" s="1120">
        <f t="shared" ref="B32:K32" si="5">SUM(B28:B31)</f>
        <v>17580072</v>
      </c>
      <c r="C32" s="1121">
        <f t="shared" si="5"/>
        <v>26406331</v>
      </c>
      <c r="D32" s="1122">
        <f t="shared" si="5"/>
        <v>24065431</v>
      </c>
      <c r="E32" s="1123">
        <f t="shared" si="5"/>
        <v>22827350</v>
      </c>
      <c r="F32" s="1121">
        <f t="shared" si="5"/>
        <v>39492350</v>
      </c>
      <c r="G32" s="1124">
        <f t="shared" si="5"/>
        <v>39492350</v>
      </c>
      <c r="H32" s="1125">
        <f t="shared" si="5"/>
        <v>39492350</v>
      </c>
      <c r="I32" s="1123">
        <f t="shared" si="5"/>
        <v>42186059</v>
      </c>
      <c r="J32" s="1121">
        <f t="shared" si="5"/>
        <v>30175150</v>
      </c>
      <c r="K32" s="1124">
        <f t="shared" si="5"/>
        <v>25080000</v>
      </c>
    </row>
    <row r="33" spans="1:15" ht="5.0999999999999996" customHeight="1">
      <c r="A33" s="1134"/>
      <c r="B33" s="1165"/>
      <c r="C33" s="1166"/>
      <c r="D33" s="1167"/>
      <c r="E33" s="1165"/>
      <c r="F33" s="1166"/>
      <c r="G33" s="1167"/>
      <c r="H33" s="1168"/>
      <c r="I33" s="1165"/>
      <c r="J33" s="1166"/>
      <c r="K33" s="1167"/>
      <c r="O33" s="1164"/>
    </row>
    <row r="34" spans="1:15" ht="11.25" customHeight="1">
      <c r="A34" s="1158" t="s">
        <v>41</v>
      </c>
      <c r="B34" s="1159"/>
      <c r="C34" s="1160"/>
      <c r="D34" s="1161"/>
      <c r="E34" s="1159"/>
      <c r="F34" s="1160"/>
      <c r="G34" s="1161"/>
      <c r="H34" s="1162"/>
      <c r="I34" s="1159"/>
      <c r="J34" s="1160"/>
      <c r="K34" s="1161"/>
      <c r="O34" s="1164"/>
    </row>
    <row r="35" spans="1:15" ht="11.25" customHeight="1">
      <c r="A35" s="1119" t="str">
        <f>'[2]A6-FinPos'!A12</f>
        <v>Total current assets</v>
      </c>
      <c r="B35" s="1120">
        <f>'[2]A6-FinPos'!C12</f>
        <v>42121790.220000006</v>
      </c>
      <c r="C35" s="1121">
        <f>'[2]A6-FinPos'!D12</f>
        <v>45956789.559999995</v>
      </c>
      <c r="D35" s="1122">
        <f>'[2]A6-FinPos'!E12</f>
        <v>50828253.740000002</v>
      </c>
      <c r="E35" s="1123">
        <f>'[2]A6-FinPos'!F12</f>
        <v>47992480.321759284</v>
      </c>
      <c r="F35" s="1121">
        <f>'[2]A6-FinPos'!G12</f>
        <v>60826520.835233293</v>
      </c>
      <c r="G35" s="1124">
        <f>'[2]A6-FinPos'!H12</f>
        <v>60826520.835233293</v>
      </c>
      <c r="H35" s="1125">
        <f>'[2]A6-FinPos'!I12</f>
        <v>60826520.835233293</v>
      </c>
      <c r="I35" s="1123">
        <f>'[2]A6-FinPos'!J12</f>
        <v>63274875.479882851</v>
      </c>
      <c r="J35" s="1121">
        <f>'[2]A6-FinPos'!K12</f>
        <v>70723294.487399086</v>
      </c>
      <c r="K35" s="1124">
        <f>'[2]A6-FinPos'!L12</f>
        <v>81187535.475984514</v>
      </c>
      <c r="O35" s="1164"/>
    </row>
    <row r="36" spans="1:15" ht="11.25" customHeight="1">
      <c r="A36" s="1119" t="str">
        <f>'[2]A6-FinPos'!A24</f>
        <v>Total non current assets</v>
      </c>
      <c r="B36" s="1120">
        <f>'[2]A6-FinPos'!C24</f>
        <v>17642437.350000001</v>
      </c>
      <c r="C36" s="1121">
        <f>'[2]A6-FinPos'!D24</f>
        <v>345614777.42999995</v>
      </c>
      <c r="D36" s="1122">
        <f>'[2]A6-FinPos'!E24</f>
        <v>353758844.22000003</v>
      </c>
      <c r="E36" s="1123">
        <f>'[2]A6-FinPos'!F24</f>
        <v>70052449.533889338</v>
      </c>
      <c r="F36" s="1121">
        <f>'[2]A6-FinPos'!G24</f>
        <v>378254556.24000007</v>
      </c>
      <c r="G36" s="1124">
        <f>'[2]A6-FinPos'!H24</f>
        <v>378254556.24000007</v>
      </c>
      <c r="H36" s="1125">
        <f>'[2]A6-FinPos'!I24</f>
        <v>378254556.24000007</v>
      </c>
      <c r="I36" s="1123">
        <f>'[2]A6-FinPos'!J24</f>
        <v>412943584.72400004</v>
      </c>
      <c r="J36" s="1121">
        <f>'[2]A6-FinPos'!K24</f>
        <v>435621915.04136407</v>
      </c>
      <c r="K36" s="1124">
        <f>'[2]A6-FinPos'!L24</f>
        <v>453205323.09439498</v>
      </c>
      <c r="O36" s="1164"/>
    </row>
    <row r="37" spans="1:15" ht="11.25" customHeight="1">
      <c r="A37" s="1119" t="str">
        <f>'[2]A6-FinPos'!A34</f>
        <v>Total current liabilities</v>
      </c>
      <c r="B37" s="1120">
        <f>'[2]A6-FinPos'!C34</f>
        <v>67132797.179999992</v>
      </c>
      <c r="C37" s="1121">
        <f>'[2]A6-FinPos'!D34</f>
        <v>63993877.089999974</v>
      </c>
      <c r="D37" s="1122">
        <f>'[2]A6-FinPos'!E34</f>
        <v>47043272.570000008</v>
      </c>
      <c r="E37" s="1123">
        <f>'[2]A6-FinPos'!F34</f>
        <v>70546343.745562568</v>
      </c>
      <c r="F37" s="1121">
        <f>'[2]A6-FinPos'!G34</f>
        <v>48366272.370165154</v>
      </c>
      <c r="G37" s="1124">
        <f>'[2]A6-FinPos'!H34</f>
        <v>48366272.370165154</v>
      </c>
      <c r="H37" s="1125">
        <f>'[2]A6-FinPos'!I34</f>
        <v>48366272.370165154</v>
      </c>
      <c r="I37" s="1123">
        <f>'[2]A6-FinPos'!J34</f>
        <v>50111716.040773287</v>
      </c>
      <c r="J37" s="1121">
        <f>'[2]A6-FinPos'!K34</f>
        <v>52266679.898412183</v>
      </c>
      <c r="K37" s="1124">
        <f>'[2]A6-FinPos'!L34</f>
        <v>54258302.981639855</v>
      </c>
      <c r="O37" s="1164"/>
    </row>
    <row r="38" spans="1:15" ht="11.25" customHeight="1">
      <c r="A38" s="1119" t="str">
        <f>'[2]A6-FinPos'!A39</f>
        <v>Total non current liabilities</v>
      </c>
      <c r="B38" s="1120">
        <f>'[2]A6-FinPos'!C39</f>
        <v>7105541.9900000002</v>
      </c>
      <c r="C38" s="1121">
        <f>'[2]A6-FinPos'!D39</f>
        <v>8789520.7199999988</v>
      </c>
      <c r="D38" s="1122">
        <f>'[2]A6-FinPos'!E39</f>
        <v>11895617.210000001</v>
      </c>
      <c r="E38" s="1123">
        <f>'[2]A6-FinPos'!F39</f>
        <v>9151616.6725292169</v>
      </c>
      <c r="F38" s="1121">
        <f>'[2]A6-FinPos'!G39</f>
        <v>15297848.268299468</v>
      </c>
      <c r="G38" s="1124">
        <f>'[2]A6-FinPos'!H39</f>
        <v>15297848.268299468</v>
      </c>
      <c r="H38" s="1125">
        <f>'[2]A6-FinPos'!I39</f>
        <v>15297848.268299468</v>
      </c>
      <c r="I38" s="1123">
        <f>'[2]A6-FinPos'!J39</f>
        <v>14299950.596209269</v>
      </c>
      <c r="J38" s="1121">
        <f>'[2]A6-FinPos'!K39</f>
        <v>13422786.638605962</v>
      </c>
      <c r="K38" s="1124">
        <f>'[2]A6-FinPos'!L39</f>
        <v>12856423.33222053</v>
      </c>
      <c r="O38" s="1164"/>
    </row>
    <row r="39" spans="1:15" ht="11.25" customHeight="1">
      <c r="A39" s="1119" t="s">
        <v>46</v>
      </c>
      <c r="B39" s="1120">
        <f>'[2]A6-FinPos'!C48</f>
        <v>-14474111.299999997</v>
      </c>
      <c r="C39" s="1121">
        <f>'[2]A6-FinPos'!D48</f>
        <v>318788169.19</v>
      </c>
      <c r="D39" s="1122">
        <f>'[2]A6-FinPos'!E48</f>
        <v>345648208.59000003</v>
      </c>
      <c r="E39" s="1123">
        <f>'[2]A6-FinPos'!F48</f>
        <v>38346688.768193841</v>
      </c>
      <c r="F39" s="1121">
        <f>'[2]A6-FinPos'!G48</f>
        <v>375416956.43676871</v>
      </c>
      <c r="G39" s="1124">
        <f>'[2]A6-FinPos'!H48</f>
        <v>375416956.43676871</v>
      </c>
      <c r="H39" s="1125">
        <f>'[2]A6-FinPos'!I48</f>
        <v>375416956.43676871</v>
      </c>
      <c r="I39" s="1123">
        <f>'[2]A6-FinPos'!J48</f>
        <v>411806793.56690031</v>
      </c>
      <c r="J39" s="1121">
        <f>'[2]A6-FinPos'!K48</f>
        <v>440655742.99174505</v>
      </c>
      <c r="K39" s="1124">
        <f>'[2]A6-FinPos'!L48</f>
        <v>467278132.25651908</v>
      </c>
      <c r="O39" s="1164"/>
    </row>
    <row r="40" spans="1:15" ht="5.0999999999999996" customHeight="1">
      <c r="A40" s="1157"/>
      <c r="B40" s="1115"/>
      <c r="C40" s="1116"/>
      <c r="D40" s="1117"/>
      <c r="E40" s="1115"/>
      <c r="F40" s="1116"/>
      <c r="G40" s="1117"/>
      <c r="H40" s="1118"/>
      <c r="I40" s="1115"/>
      <c r="J40" s="1116"/>
      <c r="K40" s="1117"/>
      <c r="O40" s="1164"/>
    </row>
    <row r="41" spans="1:15" ht="11.25" customHeight="1">
      <c r="A41" s="1158" t="s">
        <v>47</v>
      </c>
      <c r="B41" s="1159"/>
      <c r="C41" s="1160"/>
      <c r="D41" s="1161"/>
      <c r="E41" s="1159"/>
      <c r="F41" s="1160"/>
      <c r="G41" s="1161"/>
      <c r="H41" s="1162"/>
      <c r="I41" s="1159"/>
      <c r="J41" s="1160"/>
      <c r="K41" s="1161"/>
      <c r="O41" s="1164"/>
    </row>
    <row r="42" spans="1:15" ht="11.25" customHeight="1">
      <c r="A42" s="1119" t="s">
        <v>48</v>
      </c>
      <c r="B42" s="1120">
        <f>'[2]A7-CFlow'!C15</f>
        <v>13625782.5</v>
      </c>
      <c r="C42" s="1121">
        <f>'[2]A7-CFlow'!D15</f>
        <v>20137993.739999991</v>
      </c>
      <c r="D42" s="1122">
        <f>'[2]A7-CFlow'!E15</f>
        <v>18387994.990000017</v>
      </c>
      <c r="E42" s="1123">
        <f>'[2]A7-CFlow'!F15</f>
        <v>22073179.596896738</v>
      </c>
      <c r="F42" s="1121">
        <f>'[2]A7-CFlow'!G15</f>
        <v>47718023.952225149</v>
      </c>
      <c r="G42" s="1124">
        <f>'[2]A7-CFlow'!H15</f>
        <v>47718023.952225149</v>
      </c>
      <c r="H42" s="1125">
        <f>'[2]A7-CFlow'!I15</f>
        <v>47726023.952225149</v>
      </c>
      <c r="I42" s="1123">
        <f>'[2]A7-CFlow'!J15</f>
        <v>46300676.112498969</v>
      </c>
      <c r="J42" s="1121">
        <f>'[2]A7-CFlow'!K15</f>
        <v>39039095.253738612</v>
      </c>
      <c r="K42" s="1124">
        <f>'[2]A7-CFlow'!L15</f>
        <v>42058669.011086583</v>
      </c>
    </row>
    <row r="43" spans="1:15" ht="11.25" customHeight="1">
      <c r="A43" s="1119" t="s">
        <v>49</v>
      </c>
      <c r="B43" s="1120">
        <f>'[2]A7-CFlow'!C25</f>
        <v>-17570955</v>
      </c>
      <c r="C43" s="1121">
        <f>'[2]A7-CFlow'!D25</f>
        <v>-32502312.57</v>
      </c>
      <c r="D43" s="1122">
        <f>'[2]A7-CFlow'!E25</f>
        <v>-25245922.140000075</v>
      </c>
      <c r="E43" s="1123">
        <f>'[2]A7-CFlow'!F25</f>
        <v>-22831429.351319339</v>
      </c>
      <c r="F43" s="1121">
        <f>'[2]A7-CFlow'!G25</f>
        <v>-39495711.68</v>
      </c>
      <c r="G43" s="1124">
        <f>'[2]A7-CFlow'!H25</f>
        <v>-39495711.68</v>
      </c>
      <c r="H43" s="1125">
        <f>'[2]A7-CFlow'!I25</f>
        <v>-39495711.68</v>
      </c>
      <c r="I43" s="1123">
        <f>'[2]A7-CFlow'!J25</f>
        <v>-42189239.317364</v>
      </c>
      <c r="J43" s="1121">
        <f>'[2]A7-CFlow'!K25</f>
        <v>-30178558.053030927</v>
      </c>
      <c r="K43" s="1124">
        <f>'[2]A7-CFlow'!L25</f>
        <v>-25083654.219322931</v>
      </c>
    </row>
    <row r="44" spans="1:15" ht="11.25" customHeight="1">
      <c r="A44" s="1119" t="s">
        <v>50</v>
      </c>
      <c r="B44" s="1120">
        <f>'[2]A7-CFlow'!C34</f>
        <v>5806644.5199999996</v>
      </c>
      <c r="C44" s="1121">
        <f>'[2]A7-CFlow'!D34</f>
        <v>824862</v>
      </c>
      <c r="D44" s="1122">
        <f>'[2]A7-CFlow'!E34</f>
        <v>6485584.1999999993</v>
      </c>
      <c r="E44" s="1123">
        <f>'[2]A7-CFlow'!F34</f>
        <v>1675632.5805766345</v>
      </c>
      <c r="F44" s="1121">
        <f>'[2]A7-CFlow'!G34</f>
        <v>1430591.7149107503</v>
      </c>
      <c r="G44" s="1124">
        <f>'[2]A7-CFlow'!H34</f>
        <v>1430591.7149107503</v>
      </c>
      <c r="H44" s="1125">
        <f>'[2]A7-CFlow'!I34</f>
        <v>1430591.7149107503</v>
      </c>
      <c r="I44" s="1123">
        <f>'[2]A7-CFlow'!J34</f>
        <v>-1879733.1837005299</v>
      </c>
      <c r="J44" s="1121">
        <f>'[2]A7-CFlow'!K34</f>
        <v>-1643853.4262282001</v>
      </c>
      <c r="K44" s="1124">
        <f>'[2]A7-CFlow'!L34</f>
        <v>-1254034.0955318417</v>
      </c>
    </row>
    <row r="45" spans="1:15" ht="11.25" customHeight="1">
      <c r="A45" s="1134" t="str">
        <f>LEFT('[2]A7-CFlow'!A38,37)</f>
        <v>Cash/cash equivalents at the year end</v>
      </c>
      <c r="B45" s="1120">
        <f>'[2]A7-CFlow'!C38</f>
        <v>12286131.860000005</v>
      </c>
      <c r="C45" s="1121">
        <f>'[2]A7-CFlow'!D38</f>
        <v>746675.0299999956</v>
      </c>
      <c r="D45" s="1122">
        <f>'[2]A7-CFlow'!E38</f>
        <v>374332.07999993674</v>
      </c>
      <c r="E45" s="1123">
        <f>'[2]A7-CFlow'!F38</f>
        <v>581306.34633402713</v>
      </c>
      <c r="F45" s="1121">
        <f>'[2]A7-CFlow'!G38</f>
        <v>10027161.987135898</v>
      </c>
      <c r="G45" s="1124">
        <f>'[2]A7-CFlow'!H38</f>
        <v>10027161.987135898</v>
      </c>
      <c r="H45" s="1125">
        <f>'[2]A7-CFlow'!I38</f>
        <v>10035161.987135898</v>
      </c>
      <c r="I45" s="1123">
        <f>'[2]A7-CFlow'!J38</f>
        <v>12266865.598570338</v>
      </c>
      <c r="J45" s="1121">
        <f>'[2]A7-CFlow'!K38</f>
        <v>19483549.373049822</v>
      </c>
      <c r="K45" s="1124">
        <f>'[2]A7-CFlow'!L38</f>
        <v>35204530.06928163</v>
      </c>
    </row>
    <row r="46" spans="1:15" ht="5.0999999999999996" customHeight="1">
      <c r="A46" s="1157"/>
      <c r="B46" s="1115"/>
      <c r="C46" s="1116"/>
      <c r="D46" s="1117"/>
      <c r="E46" s="1115"/>
      <c r="F46" s="1116"/>
      <c r="G46" s="1117"/>
      <c r="H46" s="1118"/>
      <c r="I46" s="1115"/>
      <c r="J46" s="1116"/>
      <c r="K46" s="1117"/>
    </row>
    <row r="47" spans="1:15" ht="11.25" customHeight="1">
      <c r="A47" s="1158" t="s">
        <v>51</v>
      </c>
      <c r="B47" s="1159"/>
      <c r="C47" s="1160"/>
      <c r="D47" s="1161"/>
      <c r="E47" s="1159"/>
      <c r="F47" s="1160"/>
      <c r="G47" s="1161"/>
      <c r="H47" s="1162"/>
      <c r="I47" s="1159"/>
      <c r="J47" s="1160"/>
      <c r="K47" s="1161"/>
    </row>
    <row r="48" spans="1:15" ht="11.25" customHeight="1">
      <c r="A48" s="1119" t="str">
        <f>'[2]A8-ResRecon'!A4</f>
        <v>Cash and investments available</v>
      </c>
      <c r="B48" s="1120">
        <f>'[2]A8-ResRecon'!C8</f>
        <v>11282743.950000003</v>
      </c>
      <c r="C48" s="1121">
        <f>'[2]A8-ResRecon'!D8</f>
        <v>746599.29000002192</v>
      </c>
      <c r="D48" s="1122">
        <f>'[2]A8-ResRecon'!E8</f>
        <v>374260.33</v>
      </c>
      <c r="E48" s="1123">
        <f>'[2]A8-ResRecon'!F8</f>
        <v>11804842.660370734</v>
      </c>
      <c r="F48" s="1121">
        <f>'[2]A8-ResRecon'!G8</f>
        <v>10035134.235233292</v>
      </c>
      <c r="G48" s="1124">
        <f>'[2]A8-ResRecon'!H8</f>
        <v>10035134.235233292</v>
      </c>
      <c r="H48" s="1125">
        <f>'[2]A8-ResRecon'!I8</f>
        <v>10035134.235233292</v>
      </c>
      <c r="I48" s="1123">
        <f>'[2]A8-ResRecon'!J8</f>
        <v>12266880.776031733</v>
      </c>
      <c r="J48" s="1121">
        <f>'[2]A8-ResRecon'!K8</f>
        <v>19483612.460994147</v>
      </c>
      <c r="K48" s="1124">
        <f>'[2]A8-ResRecon'!L8</f>
        <v>29703892.230545696</v>
      </c>
    </row>
    <row r="49" spans="1:12">
      <c r="A49" s="1119" t="str">
        <f>'[2]A8-ResRecon'!A10</f>
        <v>Application of cash and investments</v>
      </c>
      <c r="B49" s="1120">
        <f>'[2]A8-ResRecon'!C18</f>
        <v>49800502.569999993</v>
      </c>
      <c r="C49" s="1121">
        <f>'[2]A8-ResRecon'!D18</f>
        <v>16030964.709999999</v>
      </c>
      <c r="D49" s="1122">
        <f>'[2]A8-ResRecon'!E18</f>
        <v>21464099.600000001</v>
      </c>
      <c r="E49" s="1123">
        <f>'[2]A8-ResRecon'!F18</f>
        <v>19446665.296378344</v>
      </c>
      <c r="F49" s="1121">
        <f>'[2]A8-ResRecon'!G18</f>
        <v>-7548495.9375353754</v>
      </c>
      <c r="G49" s="1124">
        <f>'[2]A8-ResRecon'!H18</f>
        <v>-7548495.9375353754</v>
      </c>
      <c r="H49" s="1125">
        <f>'[2]A8-ResRecon'!I18</f>
        <v>-7548495.9375353754</v>
      </c>
      <c r="I49" s="1123">
        <f>'[2]A8-ResRecon'!J18</f>
        <v>5945218.9544590861</v>
      </c>
      <c r="J49" s="1121">
        <f>'[2]A8-ResRecon'!K18</f>
        <v>6680702.8775547519</v>
      </c>
      <c r="K49" s="1124">
        <f>'[2]A8-ResRecon'!L18</f>
        <v>3572847.8105325997</v>
      </c>
    </row>
    <row r="50" spans="1:12">
      <c r="A50" s="1134" t="s">
        <v>54</v>
      </c>
      <c r="B50" s="1120">
        <f>B48-B49</f>
        <v>-38517758.61999999</v>
      </c>
      <c r="C50" s="1121">
        <f t="shared" ref="C50:K50" si="6">C48-C49</f>
        <v>-15284365.419999978</v>
      </c>
      <c r="D50" s="1122">
        <f t="shared" si="6"/>
        <v>-21089839.270000003</v>
      </c>
      <c r="E50" s="1123">
        <f t="shared" si="6"/>
        <v>-7641822.6360076107</v>
      </c>
      <c r="F50" s="1121">
        <f t="shared" si="6"/>
        <v>17583630.172768667</v>
      </c>
      <c r="G50" s="1124">
        <f t="shared" si="6"/>
        <v>17583630.172768667</v>
      </c>
      <c r="H50" s="1125">
        <f t="shared" si="6"/>
        <v>17583630.172768667</v>
      </c>
      <c r="I50" s="1123">
        <f t="shared" si="6"/>
        <v>6321661.8215726465</v>
      </c>
      <c r="J50" s="1121">
        <f t="shared" si="6"/>
        <v>12802909.583439395</v>
      </c>
      <c r="K50" s="1124">
        <f t="shared" si="6"/>
        <v>26131044.420013096</v>
      </c>
    </row>
    <row r="51" spans="1:12">
      <c r="A51" s="1169"/>
      <c r="B51" s="1170"/>
      <c r="C51" s="1171"/>
      <c r="D51" s="1172"/>
      <c r="E51" s="1170"/>
      <c r="F51" s="1171"/>
      <c r="G51" s="1172"/>
      <c r="H51" s="1173"/>
      <c r="I51" s="1170"/>
      <c r="J51" s="1171"/>
      <c r="K51" s="1172"/>
    </row>
    <row r="52" spans="1:12">
      <c r="A52" s="1174" t="s">
        <v>55</v>
      </c>
      <c r="B52" s="1115"/>
      <c r="C52" s="1116"/>
      <c r="D52" s="1117"/>
      <c r="E52" s="1115"/>
      <c r="F52" s="1116"/>
      <c r="G52" s="1117"/>
      <c r="H52" s="1118"/>
      <c r="I52" s="1115"/>
      <c r="J52" s="1116"/>
      <c r="K52" s="1117"/>
      <c r="L52" s="1126"/>
    </row>
    <row r="53" spans="1:12">
      <c r="A53" s="1175" t="s">
        <v>56</v>
      </c>
      <c r="B53" s="1120">
        <f>'[2]A9-Asset'!C65</f>
        <v>17580073</v>
      </c>
      <c r="C53" s="1121">
        <f>'[2]A9-Asset'!D65</f>
        <v>345555581.47000003</v>
      </c>
      <c r="D53" s="1122">
        <f>'[2]A9-Asset'!E65</f>
        <v>353702816.82000005</v>
      </c>
      <c r="E53" s="1123">
        <f>'[2]A9-Asset'!F65</f>
        <v>69985999.819999993</v>
      </c>
      <c r="F53" s="1121">
        <f>'[2]A9-Asset'!G65</f>
        <v>378195166.73000002</v>
      </c>
      <c r="G53" s="1124">
        <f>'[2]A9-Asset'!H65</f>
        <v>378195166.73000002</v>
      </c>
      <c r="H53" s="1125">
        <f>'[2]A9-Asset'!I65</f>
        <v>412881225.56</v>
      </c>
      <c r="I53" s="1123">
        <f>'[2]A9-Asset'!I65</f>
        <v>412881225.56</v>
      </c>
      <c r="J53" s="1121">
        <f>'[2]A9-Asset'!J65</f>
        <v>435556375.56</v>
      </c>
      <c r="K53" s="1124">
        <f>'[2]A9-Asset'!K65</f>
        <v>453136375.56</v>
      </c>
      <c r="L53" s="1126"/>
    </row>
    <row r="54" spans="1:12">
      <c r="A54" s="1175" t="str">
        <f>'[2]A9-Asset'!A68</f>
        <v>Depreciation &amp; asset impairment</v>
      </c>
      <c r="B54" s="1120">
        <f>'[2]A9-Asset'!C68</f>
        <v>0</v>
      </c>
      <c r="C54" s="1121">
        <f>'[2]A9-Asset'!D68</f>
        <v>16809954.109999999</v>
      </c>
      <c r="D54" s="1122">
        <f>'[2]A9-Asset'!E68</f>
        <v>17098687</v>
      </c>
      <c r="E54" s="1123">
        <f>'[2]A9-Asset'!F68</f>
        <v>4700000</v>
      </c>
      <c r="F54" s="1121">
        <f>'[2]A9-Asset'!G68</f>
        <v>15000000</v>
      </c>
      <c r="G54" s="1124">
        <f>'[2]A9-Asset'!H68</f>
        <v>15000000</v>
      </c>
      <c r="H54" s="1125">
        <f>'[2]A9-Asset'!I68</f>
        <v>7500000</v>
      </c>
      <c r="I54" s="1123">
        <f>'[2]A9-Asset'!I68</f>
        <v>7500000</v>
      </c>
      <c r="J54" s="1121">
        <f>'[2]A9-Asset'!J68</f>
        <v>7500000</v>
      </c>
      <c r="K54" s="1124">
        <f>'[2]A9-Asset'!K68</f>
        <v>7500000</v>
      </c>
      <c r="L54" s="1126"/>
    </row>
    <row r="55" spans="1:12">
      <c r="A55" s="1175" t="s">
        <v>57</v>
      </c>
      <c r="B55" s="1120">
        <f>'[2]A9-Asset'!C20</f>
        <v>0</v>
      </c>
      <c r="C55" s="1121">
        <f>'[2]A9-Asset'!D20</f>
        <v>0</v>
      </c>
      <c r="D55" s="1122">
        <f>'[2]A9-Asset'!E20</f>
        <v>0</v>
      </c>
      <c r="E55" s="1123">
        <f>'[2]A9-Asset'!F20</f>
        <v>18803800</v>
      </c>
      <c r="F55" s="1121">
        <f>'[2]A9-Asset'!G20</f>
        <v>35403800</v>
      </c>
      <c r="G55" s="1124">
        <f>'[2]A9-Asset'!H20</f>
        <v>35403800</v>
      </c>
      <c r="H55" s="1125">
        <f>'[2]A9-Asset'!H20</f>
        <v>35403800</v>
      </c>
      <c r="I55" s="1123">
        <f>'[2]A9-Asset'!I20</f>
        <v>19000000</v>
      </c>
      <c r="J55" s="1121">
        <f>'[2]A9-Asset'!J20</f>
        <v>20885200</v>
      </c>
      <c r="K55" s="1124">
        <f>'[2]A9-Asset'!K20</f>
        <v>20460000</v>
      </c>
      <c r="L55" s="1126"/>
    </row>
    <row r="56" spans="1:12">
      <c r="A56" s="1175" t="s">
        <v>58</v>
      </c>
      <c r="B56" s="1120">
        <f>'[2]A9-Asset'!C69</f>
        <v>3376149.15</v>
      </c>
      <c r="C56" s="1121">
        <f>'[2]A9-Asset'!D69</f>
        <v>2730101</v>
      </c>
      <c r="D56" s="1122">
        <f>'[2]A9-Asset'!E69</f>
        <v>2810008.7699999996</v>
      </c>
      <c r="E56" s="1123">
        <f>'[2]A9-Asset'!F69</f>
        <v>6443461.9498999994</v>
      </c>
      <c r="F56" s="1121">
        <f>'[2]A9-Asset'!G69</f>
        <v>4943461.9498999994</v>
      </c>
      <c r="G56" s="1124">
        <f>'[2]A9-Asset'!H69</f>
        <v>4943461.9498999994</v>
      </c>
      <c r="H56" s="1125">
        <f>'[2]A9-Asset'!I69</f>
        <v>7132331</v>
      </c>
      <c r="I56" s="1123">
        <f>'[2]A9-Asset'!I69</f>
        <v>7132331</v>
      </c>
      <c r="J56" s="1121">
        <f>'[2]A9-Asset'!J69</f>
        <v>7527531.5640000002</v>
      </c>
      <c r="K56" s="1124">
        <f>'[2]A9-Asset'!K69</f>
        <v>7922077.2124700006</v>
      </c>
      <c r="L56" s="1126"/>
    </row>
    <row r="57" spans="1:12">
      <c r="A57" s="1176"/>
      <c r="B57" s="1177"/>
      <c r="C57" s="1178"/>
      <c r="D57" s="1179"/>
      <c r="E57" s="1177"/>
      <c r="F57" s="1178"/>
      <c r="G57" s="1179"/>
      <c r="H57" s="1180"/>
      <c r="I57" s="1177"/>
      <c r="J57" s="1178"/>
      <c r="K57" s="1179"/>
      <c r="L57" s="1126"/>
    </row>
    <row r="58" spans="1:12">
      <c r="A58" s="1174" t="s">
        <v>59</v>
      </c>
      <c r="B58" s="1115"/>
      <c r="C58" s="1116"/>
      <c r="D58" s="1117"/>
      <c r="E58" s="1115"/>
      <c r="F58" s="1116"/>
      <c r="G58" s="1117"/>
      <c r="H58" s="1118"/>
      <c r="I58" s="1181"/>
      <c r="J58" s="1182"/>
      <c r="K58" s="1183"/>
      <c r="L58" s="1126"/>
    </row>
    <row r="59" spans="1:12">
      <c r="A59" s="1133" t="s">
        <v>60</v>
      </c>
      <c r="B59" s="1120">
        <f>'[2]A10-SerDel'!C59</f>
        <v>889892.21</v>
      </c>
      <c r="C59" s="1121">
        <f>'[2]A10-SerDel'!D59</f>
        <v>819029.76</v>
      </c>
      <c r="D59" s="1122">
        <f>'[2]A10-SerDel'!E59</f>
        <v>0</v>
      </c>
      <c r="E59" s="1123">
        <f>'[2]A10-SerDel'!F59</f>
        <v>933151.73279999988</v>
      </c>
      <c r="F59" s="1121">
        <f>'[2]A10-SerDel'!G59</f>
        <v>933151.73279999988</v>
      </c>
      <c r="G59" s="1124">
        <f>'[2]A10-SerDel'!H59</f>
        <v>933151.73279999988</v>
      </c>
      <c r="H59" s="1125">
        <f>'[2]A10-SerDel'!I59</f>
        <v>1054928.0339303999</v>
      </c>
      <c r="I59" s="1123">
        <f>'[2]A10-SerDel'!I59</f>
        <v>1054928.0339303999</v>
      </c>
      <c r="J59" s="1121">
        <f>'[2]A10-SerDel'!J59</f>
        <v>1192068.6783413517</v>
      </c>
      <c r="K59" s="1124">
        <f>'[2]A10-SerDel'!K59</f>
        <v>1347037.6065257273</v>
      </c>
      <c r="L59" s="1126"/>
    </row>
    <row r="60" spans="1:12">
      <c r="A60" s="1133" t="s">
        <v>61</v>
      </c>
      <c r="B60" s="1120">
        <f>'[2]A10-SerDel'!C78</f>
        <v>1788052.5</v>
      </c>
      <c r="C60" s="1121">
        <f>'[2]A10-SerDel'!D78</f>
        <v>16878849.456249997</v>
      </c>
      <c r="D60" s="1122">
        <f>'[2]A10-SerDel'!E78</f>
        <v>0</v>
      </c>
      <c r="E60" s="1123">
        <f>'[2]A10-SerDel'!F78</f>
        <v>18934048.939999998</v>
      </c>
      <c r="F60" s="1121">
        <f>'[2]A10-SerDel'!G78</f>
        <v>19234048.939999998</v>
      </c>
      <c r="G60" s="1124">
        <f>'[2]A10-SerDel'!H78</f>
        <v>19234048.939999998</v>
      </c>
      <c r="H60" s="1125">
        <f>'[2]A10-SerDel'!I78</f>
        <v>22039799.344599999</v>
      </c>
      <c r="I60" s="1123">
        <f>'[2]A10-SerDel'!I78</f>
        <v>22039799.344599999</v>
      </c>
      <c r="J60" s="1121">
        <f>'[2]A10-SerDel'!J78</f>
        <v>23782883.736168001</v>
      </c>
      <c r="K60" s="1124">
        <f>'[2]A10-SerDel'!K78</f>
        <v>25660533.671857402</v>
      </c>
      <c r="L60" s="1126"/>
    </row>
    <row r="61" spans="1:12">
      <c r="A61" s="1184" t="s">
        <v>62</v>
      </c>
      <c r="B61" s="1181"/>
      <c r="C61" s="1182"/>
      <c r="D61" s="1183"/>
      <c r="E61" s="1181"/>
      <c r="F61" s="1182"/>
      <c r="G61" s="1183"/>
      <c r="H61" s="1185"/>
      <c r="I61" s="1181"/>
      <c r="J61" s="1182"/>
      <c r="K61" s="1183"/>
      <c r="L61" s="1126"/>
    </row>
    <row r="62" spans="1:12">
      <c r="A62" s="1186" t="str">
        <f>'[2]A10-SerDel'!A5</f>
        <v>Water:</v>
      </c>
      <c r="B62" s="128">
        <f>'[2]A10-SerDel'!C14</f>
        <v>1049</v>
      </c>
      <c r="C62" s="170">
        <f>'[2]A10-SerDel'!D14</f>
        <v>1049</v>
      </c>
      <c r="D62" s="130">
        <f>'[2]A10-SerDel'!E14</f>
        <v>0</v>
      </c>
      <c r="E62" s="128">
        <f>'[2]A10-SerDel'!F14</f>
        <v>1270</v>
      </c>
      <c r="F62" s="170">
        <f>'[2]A10-SerDel'!G14</f>
        <v>1270</v>
      </c>
      <c r="G62" s="130">
        <f>'[2]A10-SerDel'!H14</f>
        <v>1270</v>
      </c>
      <c r="H62" s="129">
        <f>'[2]A10-SerDel'!I14</f>
        <v>70</v>
      </c>
      <c r="I62" s="128">
        <f>'[2]A10-SerDel'!I14</f>
        <v>70</v>
      </c>
      <c r="J62" s="170">
        <f>'[2]A10-SerDel'!J14</f>
        <v>70</v>
      </c>
      <c r="K62" s="130">
        <f>'[2]A10-SerDel'!K14</f>
        <v>70</v>
      </c>
      <c r="L62" s="1126"/>
    </row>
    <row r="63" spans="1:12">
      <c r="A63" s="1186" t="str">
        <f>'[2]A10-SerDel'!A16</f>
        <v>Sanitation/sewerage:</v>
      </c>
      <c r="B63" s="128">
        <f>'[2]A10-SerDel'!C26</f>
        <v>6929</v>
      </c>
      <c r="C63" s="170">
        <f>'[2]A10-SerDel'!D26</f>
        <v>5942</v>
      </c>
      <c r="D63" s="130">
        <f>'[2]A10-SerDel'!E26</f>
        <v>0</v>
      </c>
      <c r="E63" s="128">
        <f>'[2]A10-SerDel'!F26</f>
        <v>2958</v>
      </c>
      <c r="F63" s="170">
        <f>'[2]A10-SerDel'!G26</f>
        <v>2958</v>
      </c>
      <c r="G63" s="130">
        <f>'[2]A10-SerDel'!H26</f>
        <v>2958</v>
      </c>
      <c r="H63" s="129">
        <f>'[2]A10-SerDel'!I26</f>
        <v>416</v>
      </c>
      <c r="I63" s="128">
        <f>'[2]A10-SerDel'!I26</f>
        <v>416</v>
      </c>
      <c r="J63" s="170">
        <f>'[2]A10-SerDel'!J26</f>
        <v>416</v>
      </c>
      <c r="K63" s="130">
        <f>'[2]A10-SerDel'!K26</f>
        <v>416</v>
      </c>
      <c r="L63" s="1126"/>
    </row>
    <row r="64" spans="1:12">
      <c r="A64" s="1186" t="str">
        <f>'[2]A10-SerDel'!A28</f>
        <v>Energy:</v>
      </c>
      <c r="B64" s="128">
        <f>'[2]A10-SerDel'!C35</f>
        <v>0</v>
      </c>
      <c r="C64" s="170">
        <f>'[2]A10-SerDel'!D35</f>
        <v>0</v>
      </c>
      <c r="D64" s="130">
        <f>'[2]A10-SerDel'!E35</f>
        <v>0</v>
      </c>
      <c r="E64" s="128">
        <f>'[2]A10-SerDel'!F35</f>
        <v>0</v>
      </c>
      <c r="F64" s="170">
        <f>'[2]A10-SerDel'!G35</f>
        <v>0</v>
      </c>
      <c r="G64" s="130">
        <f>'[2]A10-SerDel'!H35</f>
        <v>0</v>
      </c>
      <c r="H64" s="129">
        <f>'[2]A10-SerDel'!I35</f>
        <v>0</v>
      </c>
      <c r="I64" s="128">
        <f>'[2]A10-SerDel'!I35</f>
        <v>0</v>
      </c>
      <c r="J64" s="170">
        <f>'[2]A10-SerDel'!J35</f>
        <v>0</v>
      </c>
      <c r="K64" s="130">
        <f>'[2]A10-SerDel'!K35</f>
        <v>0</v>
      </c>
      <c r="L64" s="1126"/>
    </row>
    <row r="65" spans="1:12">
      <c r="A65" s="1186" t="str">
        <f>'[2]A10-SerDel'!A37</f>
        <v>Refuse:</v>
      </c>
      <c r="B65" s="128">
        <f>'[2]A10-SerDel'!C45</f>
        <v>7704</v>
      </c>
      <c r="C65" s="170">
        <f>'[2]A10-SerDel'!D45</f>
        <v>7542</v>
      </c>
      <c r="D65" s="130">
        <f>'[2]A10-SerDel'!E45</f>
        <v>0</v>
      </c>
      <c r="E65" s="128">
        <f>'[2]A10-SerDel'!F45</f>
        <v>6444</v>
      </c>
      <c r="F65" s="170">
        <f>'[2]A10-SerDel'!G45</f>
        <v>6444</v>
      </c>
      <c r="G65" s="130">
        <f>'[2]A10-SerDel'!H45</f>
        <v>6444</v>
      </c>
      <c r="H65" s="129">
        <f>'[2]A10-SerDel'!I45</f>
        <v>6444</v>
      </c>
      <c r="I65" s="128">
        <f>'[2]A10-SerDel'!I45</f>
        <v>6444</v>
      </c>
      <c r="J65" s="170">
        <f>'[2]A10-SerDel'!J45</f>
        <v>6444</v>
      </c>
      <c r="K65" s="130">
        <f>'[2]A10-SerDel'!K45</f>
        <v>6444</v>
      </c>
      <c r="L65" s="1126"/>
    </row>
    <row r="66" spans="1:12">
      <c r="A66" s="1176"/>
      <c r="B66" s="1177"/>
      <c r="C66" s="1178"/>
      <c r="D66" s="1179"/>
      <c r="E66" s="1177"/>
      <c r="F66" s="1178"/>
      <c r="G66" s="1179"/>
      <c r="H66" s="1180"/>
      <c r="I66" s="1177"/>
      <c r="J66" s="1178"/>
      <c r="K66" s="1179"/>
      <c r="L66" s="1126"/>
    </row>
    <row r="67" spans="1:12">
      <c r="A67" s="1164"/>
      <c r="B67" s="1118"/>
      <c r="C67" s="1118"/>
      <c r="D67" s="1118"/>
      <c r="E67" s="1118"/>
      <c r="F67" s="1118"/>
      <c r="G67" s="1118"/>
      <c r="H67" s="1118"/>
      <c r="I67" s="1118"/>
      <c r="J67" s="1118"/>
      <c r="K67" s="1118"/>
    </row>
    <row r="68" spans="1:12">
      <c r="A68" s="1187"/>
      <c r="B68" s="1187"/>
      <c r="C68" s="1187"/>
      <c r="D68" s="1187"/>
      <c r="E68" s="1187"/>
      <c r="F68" s="1187"/>
      <c r="G68" s="1187"/>
      <c r="H68" s="1187"/>
      <c r="I68" s="1187"/>
      <c r="J68" s="1187"/>
      <c r="K68" s="1187"/>
    </row>
  </sheetData>
  <mergeCells count="3">
    <mergeCell ref="I2:K2"/>
    <mergeCell ref="E2:H2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1"/>
  <sheetViews>
    <sheetView workbookViewId="0">
      <selection activeCell="A19" sqref="A19"/>
    </sheetView>
  </sheetViews>
  <sheetFormatPr defaultRowHeight="12.75"/>
  <cols>
    <col min="1" max="1" width="30.7109375" style="1104" customWidth="1"/>
    <col min="2" max="10" width="9.28515625" style="1104" customWidth="1"/>
    <col min="11" max="40" width="9.5703125" style="1104" customWidth="1"/>
    <col min="41" max="16384" width="9.140625" style="1104"/>
  </cols>
  <sheetData>
    <row r="1" spans="1:17" ht="13.5">
      <c r="A1" s="1188" t="str">
        <f>muni&amp;" - "&amp;Approve3</f>
        <v>EC106 Sundays River Valley - Table A2 Budgeted Financial Performance (revenue and expenditure by standard classification)</v>
      </c>
      <c r="B1" s="1189"/>
      <c r="C1" s="1189"/>
      <c r="D1" s="1189"/>
      <c r="E1" s="1189"/>
      <c r="F1" s="1189"/>
      <c r="G1" s="1189"/>
      <c r="H1" s="1189"/>
      <c r="I1" s="1189"/>
      <c r="J1" s="1189"/>
    </row>
    <row r="2" spans="1:17">
      <c r="A2" s="1190" t="str">
        <f>"Standard Classification "&amp;desc</f>
        <v>Standard Classification Description</v>
      </c>
      <c r="B2" s="1106" t="str">
        <f>head1b</f>
        <v>2008/9</v>
      </c>
      <c r="C2" s="1106" t="str">
        <f>head1A</f>
        <v>2009/10</v>
      </c>
      <c r="D2" s="1108" t="str">
        <f>Head1</f>
        <v>2010/11</v>
      </c>
      <c r="E2" s="1404" t="str">
        <f>Head2</f>
        <v>Current Year 2011/12</v>
      </c>
      <c r="F2" s="1405"/>
      <c r="G2" s="1408"/>
      <c r="H2" s="1401" t="str">
        <f>Head3</f>
        <v>2012/13 Medium Term Revenue &amp; Expenditure Framework</v>
      </c>
      <c r="I2" s="1402"/>
      <c r="J2" s="1403"/>
    </row>
    <row r="3" spans="1:17" ht="25.5">
      <c r="A3" s="1192" t="s">
        <v>68</v>
      </c>
      <c r="B3" s="1111" t="str">
        <f>Head5</f>
        <v>Audited Outcome</v>
      </c>
      <c r="C3" s="1111" t="str">
        <f>Head5</f>
        <v>Audited Outcome</v>
      </c>
      <c r="D3" s="1112" t="str">
        <f>Head5</f>
        <v>Audited Outcome</v>
      </c>
      <c r="E3" s="1110" t="str">
        <f>Head6</f>
        <v>Original Budget</v>
      </c>
      <c r="F3" s="1111" t="str">
        <f>Head7</f>
        <v>Adjusted Budget</v>
      </c>
      <c r="G3" s="1112" t="str">
        <f>Head8</f>
        <v>Full Year Forecast</v>
      </c>
      <c r="H3" s="1110" t="str">
        <f>Head9</f>
        <v>Budget Year 2012/13</v>
      </c>
      <c r="I3" s="1111" t="str">
        <f>Head10</f>
        <v>Budget Year +1 2013/14</v>
      </c>
      <c r="J3" s="1112" t="str">
        <f>Head11</f>
        <v>Budget Year +2 2014/15</v>
      </c>
    </row>
    <row r="4" spans="1:17">
      <c r="A4" s="1193" t="s">
        <v>69</v>
      </c>
      <c r="B4" s="1195"/>
      <c r="C4" s="1195"/>
      <c r="D4" s="1196"/>
      <c r="E4" s="1197"/>
      <c r="F4" s="1195"/>
      <c r="G4" s="1198"/>
      <c r="H4" s="1199"/>
      <c r="I4" s="1195"/>
      <c r="J4" s="1196"/>
      <c r="K4" s="1126"/>
    </row>
    <row r="5" spans="1:17">
      <c r="A5" s="1200" t="s">
        <v>161</v>
      </c>
      <c r="B5" s="1120">
        <f>SUM(B6:B8)</f>
        <v>34473708.780000001</v>
      </c>
      <c r="C5" s="1120">
        <f t="shared" ref="C5:J5" si="0">SUM(C6:C8)</f>
        <v>39229048</v>
      </c>
      <c r="D5" s="1201">
        <f t="shared" si="0"/>
        <v>48896261</v>
      </c>
      <c r="E5" s="1202">
        <f t="shared" si="0"/>
        <v>41697504.549277499</v>
      </c>
      <c r="F5" s="1120">
        <f t="shared" si="0"/>
        <v>41697504.549277499</v>
      </c>
      <c r="G5" s="1203">
        <f t="shared" si="0"/>
        <v>41697504.549277499</v>
      </c>
      <c r="H5" s="1204">
        <f t="shared" si="0"/>
        <v>46320095.872125618</v>
      </c>
      <c r="I5" s="1120">
        <f t="shared" si="0"/>
        <v>50020919.587183513</v>
      </c>
      <c r="J5" s="1203">
        <f t="shared" si="0"/>
        <v>54189084.577957332</v>
      </c>
      <c r="K5" s="1126"/>
      <c r="P5" s="38"/>
      <c r="Q5" s="39"/>
    </row>
    <row r="6" spans="1:17">
      <c r="A6" s="1205" t="s">
        <v>70</v>
      </c>
      <c r="B6" s="1206">
        <f>[2]A2A!C6</f>
        <v>367572</v>
      </c>
      <c r="C6" s="1206">
        <f>[2]A2A!D6</f>
        <v>0</v>
      </c>
      <c r="D6" s="1207">
        <f>[2]A2A!E6</f>
        <v>0</v>
      </c>
      <c r="E6" s="1208">
        <f>[2]A2A!F6</f>
        <v>1126100</v>
      </c>
      <c r="F6" s="1206">
        <f>[2]A2A!G6</f>
        <v>1126100</v>
      </c>
      <c r="G6" s="1209">
        <f>[2]A2A!H6</f>
        <v>1126100</v>
      </c>
      <c r="H6" s="1210">
        <f>[2]A2A!I6</f>
        <v>1993000</v>
      </c>
      <c r="I6" s="1206">
        <f>[2]A2A!J6</f>
        <v>2530000</v>
      </c>
      <c r="J6" s="1207">
        <f>[2]A2A!K6</f>
        <v>2977000</v>
      </c>
      <c r="K6" s="1126"/>
      <c r="P6" s="38"/>
      <c r="Q6" s="39"/>
    </row>
    <row r="7" spans="1:17">
      <c r="A7" s="1205" t="s">
        <v>71</v>
      </c>
      <c r="B7" s="240">
        <f>[2]A2A!C9</f>
        <v>34080397</v>
      </c>
      <c r="C7" s="240">
        <f>[2]A2A!D9</f>
        <v>39203077</v>
      </c>
      <c r="D7" s="241">
        <f>[2]A2A!E9</f>
        <v>48864709</v>
      </c>
      <c r="E7" s="242">
        <f>[2]A2A!F9</f>
        <v>40546195.909566939</v>
      </c>
      <c r="F7" s="240">
        <f>[2]A2A!G9</f>
        <v>40546195.909566939</v>
      </c>
      <c r="G7" s="243">
        <f>[2]A2A!H9</f>
        <v>40546195.909566939</v>
      </c>
      <c r="H7" s="244">
        <f>[2]A2A!I9</f>
        <v>44299618.454841107</v>
      </c>
      <c r="I7" s="240">
        <f>[2]A2A!J9</f>
        <v>47461243.976516239</v>
      </c>
      <c r="J7" s="241">
        <f>[2]A2A!K9</f>
        <v>51180034.918436676</v>
      </c>
      <c r="K7" s="1126"/>
      <c r="P7" s="38"/>
      <c r="Q7" s="39"/>
    </row>
    <row r="8" spans="1:17">
      <c r="A8" s="1205" t="s">
        <v>72</v>
      </c>
      <c r="B8" s="1206">
        <f>[2]A2A!C10</f>
        <v>25739.78</v>
      </c>
      <c r="C8" s="1206">
        <f>[2]A2A!D10</f>
        <v>25971</v>
      </c>
      <c r="D8" s="1207">
        <f>[2]A2A!E10</f>
        <v>31552</v>
      </c>
      <c r="E8" s="1208">
        <f>[2]A2A!F10</f>
        <v>25208.639710560004</v>
      </c>
      <c r="F8" s="1206">
        <f>[2]A2A!G10</f>
        <v>25208.639710560004</v>
      </c>
      <c r="G8" s="1209">
        <f>[2]A2A!H10</f>
        <v>25208.639710560004</v>
      </c>
      <c r="H8" s="1210">
        <f>[2]A2A!I10</f>
        <v>27477.417284510408</v>
      </c>
      <c r="I8" s="1206">
        <f>[2]A2A!J10</f>
        <v>29675.610667271241</v>
      </c>
      <c r="J8" s="1207">
        <f>[2]A2A!K10</f>
        <v>32049.659520652942</v>
      </c>
      <c r="K8" s="1126"/>
      <c r="P8" s="38"/>
      <c r="Q8" s="39"/>
    </row>
    <row r="9" spans="1:17">
      <c r="A9" s="1200" t="s">
        <v>73</v>
      </c>
      <c r="B9" s="1120">
        <f>SUM(B10:B14)</f>
        <v>118286701.7</v>
      </c>
      <c r="C9" s="1120">
        <f t="shared" ref="C9:J9" si="1">SUM(C10:C14)</f>
        <v>5995891.7000000002</v>
      </c>
      <c r="D9" s="1211">
        <f t="shared" si="1"/>
        <v>3542862</v>
      </c>
      <c r="E9" s="1212">
        <f t="shared" si="1"/>
        <v>1275007.96</v>
      </c>
      <c r="F9" s="1120">
        <f t="shared" si="1"/>
        <v>1650007.96</v>
      </c>
      <c r="G9" s="1213">
        <f t="shared" si="1"/>
        <v>1650007.96</v>
      </c>
      <c r="H9" s="1202">
        <f t="shared" si="1"/>
        <v>2420402.9380000001</v>
      </c>
      <c r="I9" s="1120">
        <f t="shared" si="1"/>
        <v>2492894.1562359999</v>
      </c>
      <c r="J9" s="1211">
        <f t="shared" si="1"/>
        <v>2565206.6004185202</v>
      </c>
      <c r="K9" s="1126"/>
      <c r="P9" s="38"/>
      <c r="Q9" s="39"/>
    </row>
    <row r="10" spans="1:17">
      <c r="A10" s="1205" t="s">
        <v>74</v>
      </c>
      <c r="B10" s="1206">
        <f>[2]A2A!C16</f>
        <v>174440.7</v>
      </c>
      <c r="C10" s="1206">
        <f>[2]A2A!D16</f>
        <v>246513</v>
      </c>
      <c r="D10" s="1207">
        <f>[2]A2A!E16</f>
        <v>655839</v>
      </c>
      <c r="E10" s="1208">
        <f>[2]A2A!F16</f>
        <v>99948.959999999992</v>
      </c>
      <c r="F10" s="1206">
        <f>[2]A2A!G16</f>
        <v>99948.959999999992</v>
      </c>
      <c r="G10" s="1209">
        <f>[2]A2A!H16</f>
        <v>99948.959999999992</v>
      </c>
      <c r="H10" s="1210">
        <f>[2]A2A!I16</f>
        <v>1265944.3663999999</v>
      </c>
      <c r="I10" s="1206">
        <f>[2]A2A!J16</f>
        <v>1274659.9157120001</v>
      </c>
      <c r="J10" s="1207">
        <f>[2]A2A!K16</f>
        <v>1284072.7089689602</v>
      </c>
      <c r="K10" s="1126"/>
      <c r="M10" s="1126"/>
      <c r="P10" s="38"/>
      <c r="Q10" s="39"/>
    </row>
    <row r="11" spans="1:17">
      <c r="A11" s="1205" t="s">
        <v>75</v>
      </c>
      <c r="B11" s="1206">
        <f>[2]A2A!C25</f>
        <v>8120</v>
      </c>
      <c r="C11" s="1206">
        <f>[2]A2A!D25</f>
        <v>9532</v>
      </c>
      <c r="D11" s="1207">
        <f>[2]A2A!E25</f>
        <v>229266</v>
      </c>
      <c r="E11" s="1208">
        <f>[2]A2A!F25</f>
        <v>6947.24</v>
      </c>
      <c r="F11" s="1206">
        <f>[2]A2A!G25</f>
        <v>6947.24</v>
      </c>
      <c r="G11" s="1209">
        <f>[2]A2A!H25</f>
        <v>6947.24</v>
      </c>
      <c r="H11" s="1210">
        <f>[2]A2A!I25</f>
        <v>7572.4916000000012</v>
      </c>
      <c r="I11" s="1206">
        <f>[2]A2A!J25</f>
        <v>8217.2741240000014</v>
      </c>
      <c r="J11" s="1207">
        <f>[2]A2A!K25</f>
        <v>8917.1477375600043</v>
      </c>
      <c r="K11" s="1126"/>
      <c r="P11" s="38"/>
      <c r="Q11" s="39"/>
    </row>
    <row r="12" spans="1:17">
      <c r="A12" s="1205" t="s">
        <v>76</v>
      </c>
      <c r="B12" s="1206">
        <f>[2]A2A!C26</f>
        <v>1702143</v>
      </c>
      <c r="C12" s="1206">
        <f>[2]A2A!D26</f>
        <v>3231103.7</v>
      </c>
      <c r="D12" s="1207">
        <f>[2]A2A!E26</f>
        <v>1453134</v>
      </c>
      <c r="E12" s="1208">
        <f>[2]A2A!F26</f>
        <v>1000000</v>
      </c>
      <c r="F12" s="1206">
        <f>[2]A2A!G26</f>
        <v>1375000</v>
      </c>
      <c r="G12" s="1209">
        <f>[2]A2A!H26</f>
        <v>1375000</v>
      </c>
      <c r="H12" s="1210">
        <f>[2]A2A!I26</f>
        <v>1060000</v>
      </c>
      <c r="I12" s="1206">
        <f>[2]A2A!J26</f>
        <v>1116180</v>
      </c>
      <c r="J12" s="1207">
        <f>[2]A2A!K26</f>
        <v>1170872.8199999998</v>
      </c>
      <c r="K12" s="1126"/>
      <c r="P12" s="38"/>
      <c r="Q12" s="39"/>
    </row>
    <row r="13" spans="1:17">
      <c r="A13" s="1205" t="s">
        <v>80</v>
      </c>
      <c r="B13" s="1206">
        <f>[2]A2A!C32</f>
        <v>114362631</v>
      </c>
      <c r="C13" s="1206">
        <f>[2]A2A!D32</f>
        <v>142787</v>
      </c>
      <c r="D13" s="1207">
        <f>[2]A2A!E32</f>
        <v>113781</v>
      </c>
      <c r="E13" s="1208">
        <f>[2]A2A!F32</f>
        <v>168111.76</v>
      </c>
      <c r="F13" s="1206">
        <f>[2]A2A!G32</f>
        <v>168111.76</v>
      </c>
      <c r="G13" s="1209">
        <f>[2]A2A!H32</f>
        <v>168111.76</v>
      </c>
      <c r="H13" s="1210">
        <f>[2]A2A!I32</f>
        <v>86886.080000000016</v>
      </c>
      <c r="I13" s="1206">
        <f>[2]A2A!J32</f>
        <v>93836.966400000019</v>
      </c>
      <c r="J13" s="1207">
        <f>[2]A2A!K32</f>
        <v>101343.92371200003</v>
      </c>
      <c r="K13" s="1126"/>
      <c r="P13" s="38"/>
      <c r="Q13" s="39"/>
    </row>
    <row r="14" spans="1:17">
      <c r="A14" s="1205" t="s">
        <v>81</v>
      </c>
      <c r="B14" s="240">
        <f>[2]A2A!C33</f>
        <v>2039367</v>
      </c>
      <c r="C14" s="240">
        <f>[2]A2A!D33</f>
        <v>2365956</v>
      </c>
      <c r="D14" s="241">
        <f>[2]A2A!E33</f>
        <v>1090842</v>
      </c>
      <c r="E14" s="242">
        <f>[2]A2A!F33</f>
        <v>0</v>
      </c>
      <c r="F14" s="240">
        <f>[2]A2A!G33</f>
        <v>0</v>
      </c>
      <c r="G14" s="243">
        <f>[2]A2A!H33</f>
        <v>0</v>
      </c>
      <c r="H14" s="244">
        <f>[2]A2A!I33</f>
        <v>0</v>
      </c>
      <c r="I14" s="240">
        <f>[2]A2A!J33</f>
        <v>0</v>
      </c>
      <c r="J14" s="241">
        <f>[2]A2A!K33</f>
        <v>0</v>
      </c>
      <c r="K14" s="1126"/>
      <c r="P14" s="38"/>
      <c r="Q14" s="39"/>
    </row>
    <row r="15" spans="1:17">
      <c r="A15" s="1200" t="s">
        <v>83</v>
      </c>
      <c r="B15" s="1120">
        <f>SUM(B16:B18)</f>
        <v>5407535.1699999999</v>
      </c>
      <c r="C15" s="1120">
        <f t="shared" ref="C15:J15" si="2">SUM(C16:C18)</f>
        <v>3405158</v>
      </c>
      <c r="D15" s="1211">
        <f t="shared" si="2"/>
        <v>4664962</v>
      </c>
      <c r="E15" s="1212">
        <f t="shared" si="2"/>
        <v>5636347.3710000003</v>
      </c>
      <c r="F15" s="1120">
        <f t="shared" si="2"/>
        <v>7636347.3710000003</v>
      </c>
      <c r="G15" s="1213">
        <f t="shared" si="2"/>
        <v>7636347.3710000003</v>
      </c>
      <c r="H15" s="1202">
        <f t="shared" si="2"/>
        <v>7092754.1132600009</v>
      </c>
      <c r="I15" s="1120">
        <f t="shared" si="2"/>
        <v>6414172.7705127792</v>
      </c>
      <c r="J15" s="1211">
        <f t="shared" si="2"/>
        <v>6741596.7244829061</v>
      </c>
      <c r="K15" s="1126"/>
      <c r="P15" s="38"/>
      <c r="Q15" s="39"/>
    </row>
    <row r="16" spans="1:17">
      <c r="A16" s="1205" t="s">
        <v>84</v>
      </c>
      <c r="B16" s="1206">
        <f>[2]A2A!C38</f>
        <v>222706.78</v>
      </c>
      <c r="C16" s="1206">
        <f>[2]A2A!D38</f>
        <v>890578</v>
      </c>
      <c r="D16" s="1207">
        <f>[2]A2A!E38</f>
        <v>901415</v>
      </c>
      <c r="E16" s="1208">
        <f>[2]A2A!F38</f>
        <v>995372.5</v>
      </c>
      <c r="F16" s="1206">
        <f>[2]A2A!G38</f>
        <v>995372.5</v>
      </c>
      <c r="G16" s="1209">
        <f>[2]A2A!H38</f>
        <v>995372.5</v>
      </c>
      <c r="H16" s="1210">
        <f>[2]A2A!I38</f>
        <v>2293299.75</v>
      </c>
      <c r="I16" s="1206">
        <f>[2]A2A!J38</f>
        <v>1360326.7250000001</v>
      </c>
      <c r="J16" s="1207">
        <f>[2]A2A!K38</f>
        <v>1440086.6775</v>
      </c>
      <c r="K16" s="1126"/>
      <c r="P16" s="38"/>
      <c r="Q16" s="39"/>
    </row>
    <row r="17" spans="1:17">
      <c r="A17" s="1205" t="s">
        <v>85</v>
      </c>
      <c r="B17" s="1206">
        <f>[2]A2A!C42</f>
        <v>4646173.58</v>
      </c>
      <c r="C17" s="1206">
        <f>[2]A2A!D42</f>
        <v>1772295</v>
      </c>
      <c r="D17" s="1207">
        <f>[2]A2A!E42</f>
        <v>2648984</v>
      </c>
      <c r="E17" s="1208">
        <f>[2]A2A!F42</f>
        <v>3727123.8710000003</v>
      </c>
      <c r="F17" s="1206">
        <f>[2]A2A!G42</f>
        <v>5727123.8710000003</v>
      </c>
      <c r="G17" s="1209">
        <f>[2]A2A!H42</f>
        <v>5727123.8710000003</v>
      </c>
      <c r="H17" s="1210">
        <f>[2]A2A!I42</f>
        <v>3830751.3032600004</v>
      </c>
      <c r="I17" s="1206">
        <f>[2]A2A!J42</f>
        <v>4033781.1223327797</v>
      </c>
      <c r="J17" s="1207">
        <f>[2]A2A!K42</f>
        <v>4231436.397327086</v>
      </c>
      <c r="K17" s="1126"/>
      <c r="P17" s="38"/>
      <c r="Q17" s="39"/>
    </row>
    <row r="18" spans="1:17">
      <c r="A18" s="1205" t="s">
        <v>87</v>
      </c>
      <c r="B18" s="1206">
        <f>[2]A2A!C48</f>
        <v>538654.81000000006</v>
      </c>
      <c r="C18" s="1206">
        <f>[2]A2A!D48</f>
        <v>742285</v>
      </c>
      <c r="D18" s="1207">
        <f>[2]A2A!E48</f>
        <v>1114563</v>
      </c>
      <c r="E18" s="1208">
        <f>[2]A2A!F48</f>
        <v>913851</v>
      </c>
      <c r="F18" s="1206">
        <f>[2]A2A!G48</f>
        <v>913851</v>
      </c>
      <c r="G18" s="1209">
        <f>[2]A2A!H48</f>
        <v>913851</v>
      </c>
      <c r="H18" s="1210">
        <f>[2]A2A!I48</f>
        <v>968703.06</v>
      </c>
      <c r="I18" s="1206">
        <f>[2]A2A!J48</f>
        <v>1020064.92318</v>
      </c>
      <c r="J18" s="1207">
        <f>[2]A2A!K48</f>
        <v>1070073.6496558201</v>
      </c>
      <c r="K18" s="1126"/>
      <c r="P18" s="38"/>
      <c r="Q18" s="39"/>
    </row>
    <row r="19" spans="1:17">
      <c r="A19" s="1200" t="s">
        <v>88</v>
      </c>
      <c r="B19" s="1120">
        <f>SUM(B20:B23)</f>
        <v>35455114</v>
      </c>
      <c r="C19" s="1120">
        <f t="shared" ref="C19:J19" si="3">SUM(C20:C23)</f>
        <v>42848000</v>
      </c>
      <c r="D19" s="1211">
        <f t="shared" si="3"/>
        <v>58958379</v>
      </c>
      <c r="E19" s="1212">
        <f t="shared" si="3"/>
        <v>62422975.322384655</v>
      </c>
      <c r="F19" s="1120">
        <f t="shared" si="3"/>
        <v>82092965.322384655</v>
      </c>
      <c r="G19" s="1213">
        <f t="shared" si="3"/>
        <v>82092965.322384655</v>
      </c>
      <c r="H19" s="1202">
        <f t="shared" si="3"/>
        <v>90858540.843776658</v>
      </c>
      <c r="I19" s="1120">
        <f>SUM(I20:I23)</f>
        <v>86152584.847005695</v>
      </c>
      <c r="J19" s="1211">
        <f t="shared" si="3"/>
        <v>85991127.987908363</v>
      </c>
      <c r="K19" s="1126"/>
      <c r="P19" s="38"/>
      <c r="Q19" s="39"/>
    </row>
    <row r="20" spans="1:17">
      <c r="A20" s="1205" t="s">
        <v>89</v>
      </c>
      <c r="B20" s="1206">
        <f>[2]A2A!C53</f>
        <v>6316449</v>
      </c>
      <c r="C20" s="1206">
        <f>[2]A2A!D53</f>
        <v>9880486</v>
      </c>
      <c r="D20" s="1207">
        <f>[2]A2A!E53</f>
        <v>12958647</v>
      </c>
      <c r="E20" s="1208">
        <f>[2]A2A!F53</f>
        <v>14867646.190384654</v>
      </c>
      <c r="F20" s="1206">
        <f>[2]A2A!G53</f>
        <v>17608812.190384656</v>
      </c>
      <c r="G20" s="1209">
        <f>[2]A2A!H53</f>
        <v>17608812.190384656</v>
      </c>
      <c r="H20" s="1210">
        <f>[2]A2A!I53</f>
        <v>19555955.270896658</v>
      </c>
      <c r="I20" s="1206">
        <f>[2]A2A!J53</f>
        <v>21707152.370695293</v>
      </c>
      <c r="J20" s="1207">
        <f>[2]A2A!K53</f>
        <v>23969240.532373112</v>
      </c>
      <c r="K20" s="1126"/>
      <c r="P20" s="38"/>
      <c r="Q20" s="39"/>
    </row>
    <row r="21" spans="1:17">
      <c r="A21" s="1205" t="s">
        <v>90</v>
      </c>
      <c r="B21" s="1206">
        <f>[2]A2A!C56</f>
        <v>13306137</v>
      </c>
      <c r="C21" s="1206">
        <f>[2]A2A!D56</f>
        <v>16531395</v>
      </c>
      <c r="D21" s="1207">
        <f>[2]A2A!E56</f>
        <v>31550931</v>
      </c>
      <c r="E21" s="1208">
        <f>[2]A2A!F56</f>
        <v>33820859.502999999</v>
      </c>
      <c r="F21" s="1206">
        <f>[2]A2A!G56</f>
        <v>50615818.502999999</v>
      </c>
      <c r="G21" s="1209">
        <f>[2]A2A!H56</f>
        <v>50615818.502999999</v>
      </c>
      <c r="H21" s="1210">
        <f>[2]A2A!I56</f>
        <v>56231448.858270004</v>
      </c>
      <c r="I21" s="1206">
        <f>[2]A2A!J56</f>
        <v>48224353.086931601</v>
      </c>
      <c r="J21" s="1207">
        <f>[2]A2A!K56</f>
        <v>44541643.173886135</v>
      </c>
      <c r="K21" s="1126"/>
      <c r="P21" s="38"/>
      <c r="Q21" s="39"/>
    </row>
    <row r="22" spans="1:17">
      <c r="A22" s="1205" t="s">
        <v>91</v>
      </c>
      <c r="B22" s="240">
        <f>[2]A2A!C59</f>
        <v>12068503</v>
      </c>
      <c r="C22" s="240">
        <f>[2]A2A!D59</f>
        <v>12449322</v>
      </c>
      <c r="D22" s="241">
        <f>[2]A2A!E59</f>
        <v>9878495</v>
      </c>
      <c r="E22" s="242">
        <f>[2]A2A!F59</f>
        <v>4484897.9000000004</v>
      </c>
      <c r="F22" s="240">
        <f>[2]A2A!G59</f>
        <v>4618762.9000000004</v>
      </c>
      <c r="G22" s="243">
        <f>[2]A2A!H59</f>
        <v>4618762.9000000004</v>
      </c>
      <c r="H22" s="244">
        <f>[2]A2A!I59</f>
        <v>4918383.33</v>
      </c>
      <c r="I22" s="240">
        <f>[2]A2A!J59</f>
        <v>5295290.8140000002</v>
      </c>
      <c r="J22" s="241">
        <f>[2]A2A!K59</f>
        <v>5707504.1642399998</v>
      </c>
      <c r="K22" s="1126"/>
      <c r="P22" s="38"/>
      <c r="Q22" s="39"/>
    </row>
    <row r="23" spans="1:17">
      <c r="A23" s="1205" t="s">
        <v>92</v>
      </c>
      <c r="B23" s="1206">
        <f>[2]A2A!C63</f>
        <v>3764025</v>
      </c>
      <c r="C23" s="1206">
        <f>[2]A2A!D63</f>
        <v>3986797</v>
      </c>
      <c r="D23" s="1207">
        <f>[2]A2A!E63</f>
        <v>4570306</v>
      </c>
      <c r="E23" s="1208">
        <f>[2]A2A!F63</f>
        <v>9249571.7290000003</v>
      </c>
      <c r="F23" s="1206">
        <f>[2]A2A!G63</f>
        <v>9249571.7290000003</v>
      </c>
      <c r="G23" s="1209">
        <f>[2]A2A!H63</f>
        <v>9249571.7290000003</v>
      </c>
      <c r="H23" s="1210">
        <f>[2]A2A!I63</f>
        <v>10152753.384610001</v>
      </c>
      <c r="I23" s="1206">
        <f>[2]A2A!J63</f>
        <v>10925788.575378802</v>
      </c>
      <c r="J23" s="1207">
        <f>[2]A2A!K63</f>
        <v>11772740.117409106</v>
      </c>
      <c r="K23" s="1126"/>
      <c r="P23" s="38"/>
      <c r="Q23" s="39"/>
    </row>
    <row r="24" spans="1:17">
      <c r="A24" s="1200" t="s">
        <v>79</v>
      </c>
      <c r="B24" s="1120">
        <f>[2]A2A!C65</f>
        <v>0</v>
      </c>
      <c r="C24" s="1120">
        <f>[2]A2A!D65</f>
        <v>0</v>
      </c>
      <c r="D24" s="1211">
        <f>[2]A2A!E65</f>
        <v>0</v>
      </c>
      <c r="E24" s="1212">
        <f>[2]A2A!F65</f>
        <v>0</v>
      </c>
      <c r="F24" s="1120">
        <f>[2]A2A!G65</f>
        <v>0</v>
      </c>
      <c r="G24" s="1213">
        <f>[2]A2A!H65</f>
        <v>0</v>
      </c>
      <c r="H24" s="1202">
        <f>[2]A2A!I65</f>
        <v>0</v>
      </c>
      <c r="I24" s="1120">
        <f>[2]A2A!J65</f>
        <v>0</v>
      </c>
      <c r="J24" s="1211">
        <f>[2]A2A!K65</f>
        <v>0</v>
      </c>
      <c r="K24" s="1126"/>
      <c r="P24" s="375"/>
      <c r="Q24" s="39"/>
    </row>
    <row r="25" spans="1:17">
      <c r="A25" s="1214" t="str">
        <f>"Total "&amp;A4</f>
        <v>Total Revenue - Standard</v>
      </c>
      <c r="B25" s="1215">
        <f>B5+B9+B15+B19+B24</f>
        <v>193623059.65000001</v>
      </c>
      <c r="C25" s="1215">
        <f>C5+C9+C15+C19+C24</f>
        <v>91478097.700000003</v>
      </c>
      <c r="D25" s="1216">
        <f t="shared" ref="D25:J25" si="4">D5+D9+D15+D19+D24</f>
        <v>116062464</v>
      </c>
      <c r="E25" s="1217">
        <f t="shared" si="4"/>
        <v>111031835.20266216</v>
      </c>
      <c r="F25" s="1215">
        <f t="shared" si="4"/>
        <v>133076825.20266216</v>
      </c>
      <c r="G25" s="1218">
        <f t="shared" si="4"/>
        <v>133076825.20266216</v>
      </c>
      <c r="H25" s="1219">
        <f>H5+H9+H15+H19+H24</f>
        <v>146691793.76716226</v>
      </c>
      <c r="I25" s="1215">
        <f t="shared" si="4"/>
        <v>145080571.36093798</v>
      </c>
      <c r="J25" s="1216">
        <f t="shared" si="4"/>
        <v>149487015.89076713</v>
      </c>
      <c r="K25" s="1126"/>
      <c r="P25" s="1220"/>
      <c r="Q25" s="1221"/>
    </row>
    <row r="26" spans="1:17">
      <c r="A26" s="1222"/>
      <c r="B26" s="1121"/>
      <c r="C26" s="1121"/>
      <c r="D26" s="1223"/>
      <c r="E26" s="1224"/>
      <c r="F26" s="1121"/>
      <c r="G26" s="1125"/>
      <c r="H26" s="1123"/>
      <c r="I26" s="1121"/>
      <c r="J26" s="1223"/>
      <c r="K26" s="1126"/>
      <c r="P26" s="375"/>
    </row>
    <row r="27" spans="1:17">
      <c r="A27" s="1225" t="s">
        <v>95</v>
      </c>
      <c r="B27" s="1121"/>
      <c r="C27" s="1121"/>
      <c r="D27" s="1223"/>
      <c r="E27" s="1224"/>
      <c r="F27" s="1121"/>
      <c r="G27" s="1125"/>
      <c r="H27" s="1123"/>
      <c r="I27" s="1121"/>
      <c r="J27" s="1223"/>
      <c r="K27" s="1126"/>
      <c r="P27" s="375"/>
    </row>
    <row r="28" spans="1:17">
      <c r="A28" s="1200" t="str">
        <f>A5</f>
        <v>Governance and administration</v>
      </c>
      <c r="B28" s="1120">
        <f>SUM(B29:B31)</f>
        <v>38964085.910000004</v>
      </c>
      <c r="C28" s="1120">
        <f t="shared" ref="C28:J28" si="5">SUM(C29:C31)</f>
        <v>54176655</v>
      </c>
      <c r="D28" s="1201">
        <f t="shared" si="5"/>
        <v>50776602</v>
      </c>
      <c r="E28" s="1202">
        <f t="shared" si="5"/>
        <v>42494844.815423764</v>
      </c>
      <c r="F28" s="1120">
        <f t="shared" si="5"/>
        <v>54342891.815423764</v>
      </c>
      <c r="G28" s="1203">
        <f t="shared" si="5"/>
        <v>54342891.815423764</v>
      </c>
      <c r="H28" s="1204">
        <f t="shared" si="5"/>
        <v>53755058.456117578</v>
      </c>
      <c r="I28" s="1120">
        <f t="shared" si="5"/>
        <v>55518823.74620036</v>
      </c>
      <c r="J28" s="1203">
        <f t="shared" si="5"/>
        <v>57603619.528421275</v>
      </c>
      <c r="K28" s="1126"/>
    </row>
    <row r="29" spans="1:17">
      <c r="A29" s="1205" t="str">
        <f t="shared" ref="A29:A47" si="6">A6</f>
        <v>Executive and council</v>
      </c>
      <c r="B29" s="1206">
        <f>[2]A2A!C75</f>
        <v>5196888.74</v>
      </c>
      <c r="C29" s="1206">
        <f>[2]A2A!D75</f>
        <v>6293788</v>
      </c>
      <c r="D29" s="1207">
        <f>[2]A2A!E75</f>
        <v>5232514</v>
      </c>
      <c r="E29" s="1208">
        <f>[2]A2A!F75</f>
        <v>8394049.8272161353</v>
      </c>
      <c r="F29" s="1206">
        <f>[2]A2A!G75</f>
        <v>8181926.8272161353</v>
      </c>
      <c r="G29" s="1209">
        <f>[2]A2A!H75</f>
        <v>8181926.8272161353</v>
      </c>
      <c r="H29" s="1210">
        <f>[2]A2A!I75</f>
        <v>11771334.336413689</v>
      </c>
      <c r="I29" s="1206">
        <f>[2]A2A!J75</f>
        <v>12495318.869234312</v>
      </c>
      <c r="J29" s="1207">
        <f>[2]A2A!K75</f>
        <v>13190978.211014271</v>
      </c>
      <c r="K29" s="1126"/>
    </row>
    <row r="30" spans="1:17">
      <c r="A30" s="1205" t="str">
        <f t="shared" si="6"/>
        <v>Budget and treasury office</v>
      </c>
      <c r="B30" s="240">
        <f>[2]A2A!C78</f>
        <v>31335416</v>
      </c>
      <c r="C30" s="240">
        <f>[2]A2A!D78</f>
        <v>45186002</v>
      </c>
      <c r="D30" s="241">
        <f>[2]A2A!E78</f>
        <v>42749131</v>
      </c>
      <c r="E30" s="242">
        <f>[2]A2A!F78</f>
        <v>29152291.998077832</v>
      </c>
      <c r="F30" s="240">
        <f>[2]A2A!G78</f>
        <v>40888291.998077832</v>
      </c>
      <c r="G30" s="243">
        <f>[2]A2A!H78</f>
        <v>40888291.998077832</v>
      </c>
      <c r="H30" s="244">
        <f>[2]A2A!I78</f>
        <v>35536741.838471167</v>
      </c>
      <c r="I30" s="240">
        <f>[2]A2A!J78</f>
        <v>36277219.662210301</v>
      </c>
      <c r="J30" s="241">
        <f>[2]A2A!K78</f>
        <v>37233684.964190625</v>
      </c>
      <c r="K30" s="1126"/>
    </row>
    <row r="31" spans="1:17">
      <c r="A31" s="1205" t="str">
        <f t="shared" si="6"/>
        <v>Corporate services</v>
      </c>
      <c r="B31" s="1206">
        <f>[2]A2A!C79</f>
        <v>2431781.17</v>
      </c>
      <c r="C31" s="1206">
        <f>[2]A2A!D79</f>
        <v>2696865</v>
      </c>
      <c r="D31" s="1207">
        <f>[2]A2A!E79</f>
        <v>2794957</v>
      </c>
      <c r="E31" s="1208">
        <f>[2]A2A!F79</f>
        <v>4948502.9901298005</v>
      </c>
      <c r="F31" s="1206">
        <f>[2]A2A!G79</f>
        <v>5272672.9901298005</v>
      </c>
      <c r="G31" s="1209">
        <f>[2]A2A!H79</f>
        <v>5272672.9901298005</v>
      </c>
      <c r="H31" s="1210">
        <f>[2]A2A!I79</f>
        <v>6446982.2812327202</v>
      </c>
      <c r="I31" s="1206">
        <f>[2]A2A!J79</f>
        <v>6746285.214755754</v>
      </c>
      <c r="J31" s="1207">
        <f>[2]A2A!K79</f>
        <v>7178956.3532163827</v>
      </c>
      <c r="K31" s="1126"/>
    </row>
    <row r="32" spans="1:17">
      <c r="A32" s="1200" t="str">
        <f t="shared" si="6"/>
        <v>Community and public safety</v>
      </c>
      <c r="B32" s="1120">
        <f>SUM(B33:B37)</f>
        <v>127185532.05</v>
      </c>
      <c r="C32" s="1120">
        <f t="shared" ref="C32:J32" si="7">SUM(C33:C37)</f>
        <v>11051776</v>
      </c>
      <c r="D32" s="1211">
        <f t="shared" si="7"/>
        <v>9401515</v>
      </c>
      <c r="E32" s="1212">
        <f t="shared" si="7"/>
        <v>10730612.184698064</v>
      </c>
      <c r="F32" s="1120">
        <f t="shared" si="7"/>
        <v>10552875.184698064</v>
      </c>
      <c r="G32" s="1213">
        <f t="shared" si="7"/>
        <v>10552875.184698064</v>
      </c>
      <c r="H32" s="1202">
        <f t="shared" si="7"/>
        <v>11402344.701797392</v>
      </c>
      <c r="I32" s="1120">
        <f t="shared" si="7"/>
        <v>12037088.540788868</v>
      </c>
      <c r="J32" s="1211">
        <f t="shared" si="7"/>
        <v>12746117.90250086</v>
      </c>
      <c r="K32" s="1126"/>
    </row>
    <row r="33" spans="1:16">
      <c r="A33" s="1205" t="str">
        <f t="shared" si="6"/>
        <v>Community and social services</v>
      </c>
      <c r="B33" s="1206">
        <f>[2]A2A!C85</f>
        <v>2435692.38</v>
      </c>
      <c r="C33" s="1206">
        <f>[2]A2A!D85</f>
        <v>1947078</v>
      </c>
      <c r="D33" s="1207">
        <f>[2]A2A!E85</f>
        <v>1380540</v>
      </c>
      <c r="E33" s="1208">
        <f>[2]A2A!F85</f>
        <v>2607019.7374877599</v>
      </c>
      <c r="F33" s="1206">
        <f>[2]A2A!G85</f>
        <v>2584717.7374877599</v>
      </c>
      <c r="G33" s="1209">
        <f>[2]A2A!H85</f>
        <v>2584717.7374877599</v>
      </c>
      <c r="H33" s="1210">
        <f>[2]A2A!I85</f>
        <v>3085682.8990515685</v>
      </c>
      <c r="I33" s="1206">
        <f>[2]A2A!J85</f>
        <v>3279225.301556557</v>
      </c>
      <c r="J33" s="1207">
        <f>[2]A2A!K85</f>
        <v>3482950.5175430803</v>
      </c>
      <c r="K33" s="1126"/>
    </row>
    <row r="34" spans="1:16">
      <c r="A34" s="1205" t="str">
        <f t="shared" si="6"/>
        <v>Sport and recreation</v>
      </c>
      <c r="B34" s="1206">
        <f>[2]A2A!C94</f>
        <v>948725</v>
      </c>
      <c r="C34" s="1206">
        <f>[2]A2A!D94</f>
        <v>854222</v>
      </c>
      <c r="D34" s="1207">
        <f>[2]A2A!E94</f>
        <v>1073390</v>
      </c>
      <c r="E34" s="1208">
        <f>[2]A2A!F94</f>
        <v>1127571.1218775022</v>
      </c>
      <c r="F34" s="1206">
        <f>[2]A2A!G94</f>
        <v>1121571.1218775022</v>
      </c>
      <c r="G34" s="1209">
        <f>[2]A2A!H94</f>
        <v>1121571.1218775022</v>
      </c>
      <c r="H34" s="1210">
        <f>[2]A2A!I94</f>
        <v>703122.04536509002</v>
      </c>
      <c r="I34" s="1206">
        <f>[2]A2A!J94</f>
        <v>742669.42721528001</v>
      </c>
      <c r="J34" s="1207">
        <f>[2]A2A!K94</f>
        <v>782861.24497432774</v>
      </c>
      <c r="K34" s="1126"/>
    </row>
    <row r="35" spans="1:16">
      <c r="A35" s="1205" t="str">
        <f t="shared" si="6"/>
        <v>Public safety</v>
      </c>
      <c r="B35" s="1206">
        <f>[2]A2A!C95</f>
        <v>7198755.6699999999</v>
      </c>
      <c r="C35" s="1206">
        <f>[2]A2A!D95</f>
        <v>6036113</v>
      </c>
      <c r="D35" s="1207">
        <f>[2]A2A!E95</f>
        <v>5632750</v>
      </c>
      <c r="E35" s="1208">
        <f>[2]A2A!F95</f>
        <v>6511308.9683511304</v>
      </c>
      <c r="F35" s="1206">
        <f>[2]A2A!G95</f>
        <v>6662889.9683511304</v>
      </c>
      <c r="G35" s="1209">
        <f>[2]A2A!H95</f>
        <v>6662889.9683511304</v>
      </c>
      <c r="H35" s="1210">
        <f>[2]A2A!I95</f>
        <v>7264509.6327625923</v>
      </c>
      <c r="I35" s="1206">
        <f>[2]A2A!J95</f>
        <v>7646176.6958756298</v>
      </c>
      <c r="J35" s="1207">
        <f>[2]A2A!K95</f>
        <v>8090727.9444725914</v>
      </c>
      <c r="K35" s="1126"/>
    </row>
    <row r="36" spans="1:16">
      <c r="A36" s="1205" t="str">
        <f t="shared" si="6"/>
        <v>Housing</v>
      </c>
      <c r="B36" s="1206">
        <f>[2]A2A!C101</f>
        <v>114441051</v>
      </c>
      <c r="C36" s="1206">
        <f>[2]A2A!D101</f>
        <v>319310</v>
      </c>
      <c r="D36" s="1207">
        <f>[2]A2A!E101</f>
        <v>187002</v>
      </c>
      <c r="E36" s="1208">
        <f>[2]A2A!F101</f>
        <v>484712.356981672</v>
      </c>
      <c r="F36" s="1206">
        <f>[2]A2A!G101</f>
        <v>183696.356981672</v>
      </c>
      <c r="G36" s="1209">
        <f>[2]A2A!H101</f>
        <v>183696.356981672</v>
      </c>
      <c r="H36" s="1210">
        <f>[2]A2A!I101</f>
        <v>349030.12461814034</v>
      </c>
      <c r="I36" s="1206">
        <f>[2]A2A!J101</f>
        <v>369017.11614140181</v>
      </c>
      <c r="J36" s="1207">
        <f>[2]A2A!K101</f>
        <v>389578.19551086047</v>
      </c>
      <c r="K36" s="1126"/>
    </row>
    <row r="37" spans="1:16">
      <c r="A37" s="1205" t="str">
        <f t="shared" si="6"/>
        <v>Health</v>
      </c>
      <c r="B37" s="240">
        <f>[2]A2A!C102</f>
        <v>2161308</v>
      </c>
      <c r="C37" s="240">
        <f>[2]A2A!D102</f>
        <v>1895053</v>
      </c>
      <c r="D37" s="241">
        <f>[2]A2A!E102</f>
        <v>1127833</v>
      </c>
      <c r="E37" s="242">
        <f>[2]A2A!F102</f>
        <v>0</v>
      </c>
      <c r="F37" s="240">
        <f>[2]A2A!G102</f>
        <v>0</v>
      </c>
      <c r="G37" s="243">
        <f>[2]A2A!H102</f>
        <v>0</v>
      </c>
      <c r="H37" s="244">
        <f>[2]A2A!I102</f>
        <v>0</v>
      </c>
      <c r="I37" s="240">
        <f>[2]A2A!J102</f>
        <v>0</v>
      </c>
      <c r="J37" s="241">
        <f>[2]A2A!K102</f>
        <v>0</v>
      </c>
      <c r="K37" s="1126"/>
    </row>
    <row r="38" spans="1:16">
      <c r="A38" s="1200" t="str">
        <f t="shared" si="6"/>
        <v>Economic and environmental services</v>
      </c>
      <c r="B38" s="1120">
        <f>SUM(B39:B41)</f>
        <v>6260413.1699999999</v>
      </c>
      <c r="C38" s="1120">
        <f t="shared" ref="C38:J38" si="8">SUM(C39:C41)</f>
        <v>6657763</v>
      </c>
      <c r="D38" s="1211">
        <f t="shared" si="8"/>
        <v>6926521</v>
      </c>
      <c r="E38" s="1212">
        <f t="shared" si="8"/>
        <v>9887029.7051171996</v>
      </c>
      <c r="F38" s="1120">
        <f t="shared" si="8"/>
        <v>9432799.7051171996</v>
      </c>
      <c r="G38" s="1213">
        <f t="shared" si="8"/>
        <v>9432799.7051171996</v>
      </c>
      <c r="H38" s="1202">
        <f t="shared" si="8"/>
        <v>12214146.005432177</v>
      </c>
      <c r="I38" s="1120">
        <f t="shared" si="8"/>
        <v>12865539.946530502</v>
      </c>
      <c r="J38" s="1211">
        <f t="shared" si="8"/>
        <v>13576650.789648995</v>
      </c>
      <c r="K38" s="1126"/>
    </row>
    <row r="39" spans="1:16">
      <c r="A39" s="1205" t="str">
        <f t="shared" si="6"/>
        <v>Planning and development</v>
      </c>
      <c r="B39" s="1206">
        <f>[2]A2A!C107</f>
        <v>3591429</v>
      </c>
      <c r="C39" s="1206">
        <f>[2]A2A!D107</f>
        <v>3892475</v>
      </c>
      <c r="D39" s="1207">
        <f>[2]A2A!E107</f>
        <v>3993771</v>
      </c>
      <c r="E39" s="1208">
        <f>[2]A2A!F107</f>
        <v>4762995.4357235981</v>
      </c>
      <c r="F39" s="1206">
        <f>[2]A2A!G107</f>
        <v>5408765.4357235981</v>
      </c>
      <c r="G39" s="1209">
        <f>[2]A2A!H107</f>
        <v>5408765.4357235981</v>
      </c>
      <c r="H39" s="1210">
        <f>[2]A2A!I107</f>
        <v>6137030</v>
      </c>
      <c r="I39" s="1206">
        <f>[2]A2A!J107</f>
        <v>6446768</v>
      </c>
      <c r="J39" s="1207">
        <f>[2]A2A!K107</f>
        <v>6810763</v>
      </c>
      <c r="K39" s="1126"/>
    </row>
    <row r="40" spans="1:16">
      <c r="A40" s="1205" t="str">
        <f t="shared" si="6"/>
        <v>Road transport</v>
      </c>
      <c r="B40" s="1206">
        <f>[2]A2A!C111</f>
        <v>1939963.17</v>
      </c>
      <c r="C40" s="1206">
        <f>[2]A2A!D111</f>
        <v>1971656</v>
      </c>
      <c r="D40" s="1207">
        <f>[2]A2A!E111</f>
        <v>2140444</v>
      </c>
      <c r="E40" s="1208">
        <f>[2]A2A!F111</f>
        <v>4187264.1979464004</v>
      </c>
      <c r="F40" s="1206">
        <f>[2]A2A!G111</f>
        <v>3087264.1979464004</v>
      </c>
      <c r="G40" s="1209">
        <f>[2]A2A!H111</f>
        <v>3087264.1979464004</v>
      </c>
      <c r="H40" s="1210">
        <f>[2]A2A!I111</f>
        <v>5042186.3248621766</v>
      </c>
      <c r="I40" s="1206">
        <f>[2]A2A!J111</f>
        <v>5323707.9910962917</v>
      </c>
      <c r="J40" s="1207">
        <f>[2]A2A!K111</f>
        <v>5608365.7288387883</v>
      </c>
      <c r="K40" s="1126"/>
    </row>
    <row r="41" spans="1:16">
      <c r="A41" s="1205" t="str">
        <f t="shared" si="6"/>
        <v>Environmental protection</v>
      </c>
      <c r="B41" s="1206">
        <f>[2]A2A!C117</f>
        <v>729021</v>
      </c>
      <c r="C41" s="1206">
        <f>[2]A2A!D117</f>
        <v>793632</v>
      </c>
      <c r="D41" s="1207">
        <f>[2]A2A!E117</f>
        <v>792306</v>
      </c>
      <c r="E41" s="1208">
        <f>[2]A2A!F117</f>
        <v>936770.07144720014</v>
      </c>
      <c r="F41" s="1206">
        <f>[2]A2A!G117</f>
        <v>936770.07144720014</v>
      </c>
      <c r="G41" s="1209">
        <f>[2]A2A!H117</f>
        <v>936770.07144720014</v>
      </c>
      <c r="H41" s="1210">
        <f>[2]A2A!I117</f>
        <v>1034929.6805700001</v>
      </c>
      <c r="I41" s="1206">
        <f>[2]A2A!J117</f>
        <v>1095063.9554342101</v>
      </c>
      <c r="J41" s="1207">
        <f>[2]A2A!K117</f>
        <v>1157522.0608102065</v>
      </c>
      <c r="K41" s="1126"/>
    </row>
    <row r="42" spans="1:16">
      <c r="A42" s="1200" t="str">
        <f t="shared" si="6"/>
        <v>Trading services</v>
      </c>
      <c r="B42" s="1120">
        <f>SUM(B43:B46)</f>
        <v>16792703.93</v>
      </c>
      <c r="C42" s="1120">
        <f t="shared" ref="C42:I42" si="9">SUM(C43:C46)</f>
        <v>19123200</v>
      </c>
      <c r="D42" s="1211">
        <f t="shared" si="9"/>
        <v>22097787</v>
      </c>
      <c r="E42" s="1212">
        <f>SUM(E43:E46)</f>
        <v>27978260.689866312</v>
      </c>
      <c r="F42" s="1120">
        <f t="shared" si="9"/>
        <v>28119961.689866316</v>
      </c>
      <c r="G42" s="1213">
        <f t="shared" si="9"/>
        <v>28119961.689866316</v>
      </c>
      <c r="H42" s="1202">
        <f t="shared" si="9"/>
        <v>32930387.056080744</v>
      </c>
      <c r="I42" s="1120">
        <f t="shared" si="9"/>
        <v>35810126.639734179</v>
      </c>
      <c r="J42" s="1211">
        <f>SUM(J43:J46)</f>
        <v>38938167.468521118</v>
      </c>
      <c r="K42" s="1126"/>
    </row>
    <row r="43" spans="1:16">
      <c r="A43" s="1205" t="str">
        <f t="shared" si="6"/>
        <v>Electricity</v>
      </c>
      <c r="B43" s="1206">
        <f>[2]A2A!C122</f>
        <v>5732293.9699999997</v>
      </c>
      <c r="C43" s="1206">
        <f>[2]A2A!D122</f>
        <v>7528720</v>
      </c>
      <c r="D43" s="1207">
        <f>[2]A2A!E122</f>
        <v>9060614</v>
      </c>
      <c r="E43" s="1208">
        <f>[2]A2A!F122</f>
        <v>12239177.904077997</v>
      </c>
      <c r="F43" s="1206">
        <f>[2]A2A!G122</f>
        <v>12039177.904077997</v>
      </c>
      <c r="G43" s="1209">
        <f>[2]A2A!H122</f>
        <v>12039177.904077997</v>
      </c>
      <c r="H43" s="1210">
        <f>[2]A2A!I122</f>
        <v>14258231.235975929</v>
      </c>
      <c r="I43" s="1206">
        <f>[2]A2A!J122</f>
        <v>16021609.884985361</v>
      </c>
      <c r="J43" s="1207">
        <f>[2]A2A!K122</f>
        <v>17980886.927546728</v>
      </c>
      <c r="K43" s="1126"/>
    </row>
    <row r="44" spans="1:16">
      <c r="A44" s="1205" t="str">
        <f t="shared" si="6"/>
        <v>Water</v>
      </c>
      <c r="B44" s="1206">
        <f>[2]A2A!C125</f>
        <v>5609142</v>
      </c>
      <c r="C44" s="1206">
        <f>[2]A2A!D125</f>
        <v>5849159</v>
      </c>
      <c r="D44" s="1207">
        <f>[2]A2A!E125</f>
        <v>6949678</v>
      </c>
      <c r="E44" s="1208">
        <f>[2]A2A!F125</f>
        <v>8193965.3857500693</v>
      </c>
      <c r="F44" s="1206">
        <f>[2]A2A!G125</f>
        <v>8435666.3857500702</v>
      </c>
      <c r="G44" s="1209">
        <f>[2]A2A!H125</f>
        <v>8435666.3857500702</v>
      </c>
      <c r="H44" s="1210">
        <f>[2]A2A!I125</f>
        <v>8504698.1513263788</v>
      </c>
      <c r="I44" s="1206">
        <f>[2]A2A!J125</f>
        <v>9068128.229786275</v>
      </c>
      <c r="J44" s="1207">
        <f>[2]A2A!K125</f>
        <v>9657931.895051498</v>
      </c>
      <c r="K44" s="1126"/>
    </row>
    <row r="45" spans="1:16">
      <c r="A45" s="1205" t="str">
        <f t="shared" si="6"/>
        <v>Waste water management</v>
      </c>
      <c r="B45" s="240">
        <f>[2]A2A!C128</f>
        <v>2349618.96</v>
      </c>
      <c r="C45" s="240">
        <f>[2]A2A!D128</f>
        <v>2233609</v>
      </c>
      <c r="D45" s="241">
        <f>[2]A2A!E128</f>
        <v>2694608</v>
      </c>
      <c r="E45" s="242">
        <f>[2]A2A!F128</f>
        <v>4480158.7518120036</v>
      </c>
      <c r="F45" s="240">
        <f>[2]A2A!G128</f>
        <v>3580158.7518120036</v>
      </c>
      <c r="G45" s="243">
        <f>[2]A2A!H128</f>
        <v>3580158.7518120036</v>
      </c>
      <c r="H45" s="244">
        <f>[2]A2A!I128</f>
        <v>4734231.5494448803</v>
      </c>
      <c r="I45" s="240">
        <f>[2]A2A!J128</f>
        <v>4983334.4252691353</v>
      </c>
      <c r="J45" s="241">
        <f>[2]A2A!K128</f>
        <v>5254749.0133773386</v>
      </c>
      <c r="K45" s="1126"/>
    </row>
    <row r="46" spans="1:16">
      <c r="A46" s="1205" t="str">
        <f t="shared" si="6"/>
        <v>Waste management</v>
      </c>
      <c r="B46" s="1206">
        <f>[2]A2A!C132</f>
        <v>3101649</v>
      </c>
      <c r="C46" s="1206">
        <f>[2]A2A!D132</f>
        <v>3511712</v>
      </c>
      <c r="D46" s="1207">
        <f>[2]A2A!E132</f>
        <v>3392887</v>
      </c>
      <c r="E46" s="1208">
        <f>[2]A2A!F132</f>
        <v>3064958.6482262416</v>
      </c>
      <c r="F46" s="1206">
        <f>[2]A2A!G132</f>
        <v>4064958.6482262416</v>
      </c>
      <c r="G46" s="1209">
        <f>[2]A2A!H132</f>
        <v>4064958.6482262416</v>
      </c>
      <c r="H46" s="1210">
        <f>[2]A2A!I132</f>
        <v>5433226.1193335531</v>
      </c>
      <c r="I46" s="1206">
        <f>[2]A2A!J132</f>
        <v>5737054.0996934092</v>
      </c>
      <c r="J46" s="1207">
        <f>[2]A2A!K132</f>
        <v>6044599.6325455522</v>
      </c>
      <c r="K46" s="1126"/>
    </row>
    <row r="47" spans="1:16">
      <c r="A47" s="1200" t="str">
        <f t="shared" si="6"/>
        <v>Other</v>
      </c>
      <c r="B47" s="1120">
        <f>[2]A2A!C134</f>
        <v>0</v>
      </c>
      <c r="C47" s="1120">
        <f>[2]A2A!D134</f>
        <v>0</v>
      </c>
      <c r="D47" s="1211">
        <f>[2]A2A!E134</f>
        <v>0</v>
      </c>
      <c r="E47" s="1212">
        <f>[2]A2A!F134</f>
        <v>0</v>
      </c>
      <c r="F47" s="1120">
        <f>[2]A2A!G134</f>
        <v>0</v>
      </c>
      <c r="G47" s="1213">
        <f>[2]A2A!H134</f>
        <v>0</v>
      </c>
      <c r="H47" s="1202">
        <f>[2]A2A!I134</f>
        <v>0</v>
      </c>
      <c r="I47" s="1120">
        <f>[2]A2A!J134</f>
        <v>0</v>
      </c>
      <c r="J47" s="1211">
        <f>[2]A2A!K134</f>
        <v>0</v>
      </c>
      <c r="K47" s="1126"/>
    </row>
    <row r="48" spans="1:16">
      <c r="A48" s="1214" t="str">
        <f>"Total "&amp;A27</f>
        <v>Total Expenditure - Standard</v>
      </c>
      <c r="B48" s="1215">
        <f>B28+B32+B38+B42+B47</f>
        <v>189202735.06</v>
      </c>
      <c r="C48" s="1215">
        <f>C28+C32+C38+C42+C47</f>
        <v>91009394</v>
      </c>
      <c r="D48" s="1216">
        <f>D28+D32+D38+D42+D47</f>
        <v>89202425</v>
      </c>
      <c r="E48" s="1217">
        <f t="shared" ref="E48:J48" si="10">E28+E32+E38+E42+E47</f>
        <v>91090747.395105332</v>
      </c>
      <c r="F48" s="1215">
        <f t="shared" si="10"/>
        <v>102448528.39510535</v>
      </c>
      <c r="G48" s="1218">
        <f t="shared" si="10"/>
        <v>102448528.39510535</v>
      </c>
      <c r="H48" s="1219">
        <f t="shared" si="10"/>
        <v>110301936.21942788</v>
      </c>
      <c r="I48" s="1215">
        <f t="shared" si="10"/>
        <v>116231578.87325391</v>
      </c>
      <c r="J48" s="1216">
        <f t="shared" si="10"/>
        <v>122864555.68909225</v>
      </c>
      <c r="K48" s="1126"/>
      <c r="P48" s="1226"/>
    </row>
    <row r="49" spans="1:11">
      <c r="A49" s="1227" t="str">
        <f>result</f>
        <v>Surplus/(Deficit) for the year</v>
      </c>
      <c r="B49" s="1228">
        <f>B25-B48</f>
        <v>4420324.5900000036</v>
      </c>
      <c r="C49" s="1228">
        <f t="shared" ref="C49:J49" si="11">C25-C48</f>
        <v>468703.70000000298</v>
      </c>
      <c r="D49" s="1229">
        <f t="shared" si="11"/>
        <v>26860039</v>
      </c>
      <c r="E49" s="1230">
        <f t="shared" si="11"/>
        <v>19941087.807556823</v>
      </c>
      <c r="F49" s="1228">
        <f t="shared" si="11"/>
        <v>30628296.807556808</v>
      </c>
      <c r="G49" s="1231">
        <f t="shared" si="11"/>
        <v>30628296.807556808</v>
      </c>
      <c r="H49" s="1232">
        <f t="shared" si="11"/>
        <v>36389857.54773438</v>
      </c>
      <c r="I49" s="1228">
        <f t="shared" si="11"/>
        <v>28848992.487684071</v>
      </c>
      <c r="J49" s="1229">
        <f t="shared" si="11"/>
        <v>26622460.201674879</v>
      </c>
      <c r="K49" s="1126"/>
    </row>
    <row r="51" spans="1:11">
      <c r="D51" s="1234"/>
    </row>
  </sheetData>
  <mergeCells count="2">
    <mergeCell ref="E2:G2"/>
    <mergeCell ref="H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2"/>
  <sheetViews>
    <sheetView workbookViewId="0">
      <selection activeCell="B9" sqref="B9"/>
    </sheetView>
  </sheetViews>
  <sheetFormatPr defaultRowHeight="12.75"/>
  <cols>
    <col min="1" max="1" width="30.7109375" style="1104" customWidth="1"/>
    <col min="2" max="10" width="9.28515625" style="1104" customWidth="1"/>
    <col min="11" max="22" width="9.140625" style="1104" hidden="1" customWidth="1"/>
    <col min="23" max="16384" width="9.140625" style="1104"/>
  </cols>
  <sheetData>
    <row r="1" spans="1:23" s="1236" customFormat="1">
      <c r="A1" s="1235" t="str">
        <f>muni&amp;" - "&amp;Approve2</f>
        <v>EC106 Sundays River Valley - Table A3 Budgeted Financial Performance (revenue and expenditure by municipal vote)</v>
      </c>
      <c r="B1" s="1235"/>
      <c r="C1" s="1235"/>
      <c r="D1" s="1235"/>
      <c r="E1" s="1235"/>
      <c r="F1" s="1235"/>
      <c r="G1" s="1235"/>
      <c r="H1" s="1235"/>
      <c r="I1" s="1235"/>
      <c r="J1" s="1235"/>
    </row>
    <row r="2" spans="1:23" ht="28.5" customHeight="1">
      <c r="A2" s="1237" t="str">
        <f>Vdesc</f>
        <v>Vote Description</v>
      </c>
      <c r="B2" s="1238" t="str">
        <f>head1b</f>
        <v>2008/9</v>
      </c>
      <c r="C2" s="1238" t="str">
        <f>head1A</f>
        <v>2009/10</v>
      </c>
      <c r="D2" s="1239" t="str">
        <f>Head1</f>
        <v>2010/11</v>
      </c>
      <c r="E2" s="1409" t="str">
        <f>Head2</f>
        <v>Current Year 2011/12</v>
      </c>
      <c r="F2" s="1410"/>
      <c r="G2" s="1410"/>
      <c r="H2" s="1411" t="str">
        <f>Head3</f>
        <v>2012/13 Medium Term Revenue &amp; Expenditure Framework</v>
      </c>
      <c r="I2" s="1412"/>
      <c r="J2" s="1413"/>
      <c r="K2" s="1414" t="str">
        <f>Head4</f>
        <v>LTFS</v>
      </c>
      <c r="L2" s="1415"/>
      <c r="M2" s="1415"/>
      <c r="N2" s="1415"/>
      <c r="O2" s="1415"/>
      <c r="P2" s="1415"/>
      <c r="Q2" s="1415"/>
      <c r="R2" s="1415"/>
      <c r="S2" s="1415"/>
      <c r="T2" s="1415"/>
      <c r="U2" s="1415"/>
      <c r="V2" s="1416"/>
    </row>
    <row r="3" spans="1:23" ht="25.5">
      <c r="A3" s="1240" t="s">
        <v>68</v>
      </c>
      <c r="B3" s="1241" t="str">
        <f>Head5</f>
        <v>Audited Outcome</v>
      </c>
      <c r="C3" s="1241" t="str">
        <f>Head5</f>
        <v>Audited Outcome</v>
      </c>
      <c r="D3" s="1242" t="str">
        <f>Head5</f>
        <v>Audited Outcome</v>
      </c>
      <c r="E3" s="1243" t="str">
        <f>Head6</f>
        <v>Original Budget</v>
      </c>
      <c r="F3" s="1241" t="str">
        <f>Head7</f>
        <v>Adjusted Budget</v>
      </c>
      <c r="G3" s="1242" t="str">
        <f>Head8</f>
        <v>Full Year Forecast</v>
      </c>
      <c r="H3" s="1243" t="str">
        <f>Head9</f>
        <v>Budget Year 2012/13</v>
      </c>
      <c r="I3" s="1241" t="str">
        <f>Head10</f>
        <v>Budget Year +1 2013/14</v>
      </c>
      <c r="J3" s="1242" t="str">
        <f>Head11</f>
        <v>Budget Year +2 2014/15</v>
      </c>
      <c r="K3" s="1244" t="str">
        <f>Head12</f>
        <v>Forecast 2015/16</v>
      </c>
      <c r="L3" s="1245" t="str">
        <f>Head13</f>
        <v>Forecast 2016/17</v>
      </c>
      <c r="M3" s="1245" t="str">
        <f>Head14</f>
        <v>Forecast 2017/18</v>
      </c>
      <c r="N3" s="1245" t="str">
        <f>Head15</f>
        <v>Forecast 2018/19</v>
      </c>
      <c r="O3" s="1245" t="str">
        <f>Head16</f>
        <v>Forecast 2019/20</v>
      </c>
      <c r="P3" s="1245" t="str">
        <f>Head17</f>
        <v>Forecast 2020/21</v>
      </c>
      <c r="Q3" s="1245" t="str">
        <f>Head18</f>
        <v>Forecast 2021/22</v>
      </c>
      <c r="R3" s="1245" t="str">
        <f>Head19</f>
        <v>Forecast 2022/23</v>
      </c>
      <c r="S3" s="1245" t="str">
        <f>Head20</f>
        <v>Forecast 2023/24</v>
      </c>
      <c r="T3" s="1245" t="str">
        <f>Head21</f>
        <v>Forecast 2024/25</v>
      </c>
      <c r="U3" s="1245" t="str">
        <f>Head22</f>
        <v>Forecast 2025/26</v>
      </c>
      <c r="V3" s="1245" t="str">
        <f>Head23</f>
        <v>Forecast 2026/27</v>
      </c>
    </row>
    <row r="4" spans="1:23" ht="11.25" customHeight="1">
      <c r="A4" s="1246" t="s">
        <v>104</v>
      </c>
      <c r="B4" s="1247"/>
      <c r="C4" s="1247"/>
      <c r="D4" s="1248"/>
      <c r="E4" s="1249"/>
      <c r="F4" s="1247"/>
      <c r="G4" s="1250"/>
      <c r="H4" s="1251"/>
      <c r="I4" s="1247"/>
      <c r="J4" s="1252"/>
      <c r="K4" s="1253"/>
      <c r="L4" s="1254"/>
      <c r="M4" s="1254"/>
      <c r="N4" s="1254"/>
      <c r="O4" s="1254"/>
      <c r="P4" s="1254"/>
      <c r="Q4" s="1254"/>
      <c r="R4" s="1254"/>
      <c r="S4" s="1254"/>
      <c r="T4" s="1254"/>
      <c r="U4" s="1254"/>
      <c r="V4" s="1254"/>
    </row>
    <row r="5" spans="1:23" ht="11.25" customHeight="1">
      <c r="A5" s="1255" t="str">
        <f>[2]A3A!A5</f>
        <v>Vote 1 - Executive &amp; Council</v>
      </c>
      <c r="B5" s="1256">
        <f>[2]A3A!C5</f>
        <v>367572</v>
      </c>
      <c r="C5" s="1256">
        <f>[2]A3A!D5</f>
        <v>0</v>
      </c>
      <c r="D5" s="1257">
        <f>[2]A3A!E5</f>
        <v>0</v>
      </c>
      <c r="E5" s="1258">
        <f>[2]A3A!F5</f>
        <v>1126100</v>
      </c>
      <c r="F5" s="1256">
        <f>[2]A3A!G5</f>
        <v>1126100</v>
      </c>
      <c r="G5" s="1259">
        <f>[2]A3A!H5</f>
        <v>1126100</v>
      </c>
      <c r="H5" s="1260">
        <f>[2]A3A!I5</f>
        <v>1993000</v>
      </c>
      <c r="I5" s="1256">
        <f>[2]A3A!J5</f>
        <v>2530000</v>
      </c>
      <c r="J5" s="1261">
        <f>[2]A3A!K5</f>
        <v>2977000</v>
      </c>
      <c r="K5" s="1253"/>
      <c r="L5" s="1254"/>
      <c r="M5" s="1254"/>
      <c r="N5" s="1254"/>
      <c r="O5" s="1254"/>
      <c r="P5" s="1254"/>
      <c r="Q5" s="1254"/>
      <c r="R5" s="1254"/>
      <c r="S5" s="1254"/>
      <c r="T5" s="1254"/>
      <c r="U5" s="1254"/>
      <c r="V5" s="1254"/>
    </row>
    <row r="6" spans="1:23" ht="11.25" customHeight="1">
      <c r="A6" s="1255" t="str">
        <f>[2]A3A!A16</f>
        <v>Vote 2 - Finance &amp; Administration</v>
      </c>
      <c r="B6" s="1256">
        <f>[2]A3A!C16</f>
        <v>34106136.780000001</v>
      </c>
      <c r="C6" s="1256">
        <f>[2]A3A!D16</f>
        <v>39229048</v>
      </c>
      <c r="D6" s="1257">
        <f>[2]A3A!E16</f>
        <v>49324286</v>
      </c>
      <c r="E6" s="1258">
        <f>[2]A3A!F16</f>
        <v>40571404.549277499</v>
      </c>
      <c r="F6" s="1256">
        <f>[2]A3A!G16</f>
        <v>40571404.549277499</v>
      </c>
      <c r="G6" s="1259">
        <f>[2]A3A!H16</f>
        <v>40571404.549277499</v>
      </c>
      <c r="H6" s="1260">
        <f>[2]A3A!I16</f>
        <v>44327095.872125618</v>
      </c>
      <c r="I6" s="1256">
        <f>[2]A3A!J16</f>
        <v>47490919.587183513</v>
      </c>
      <c r="J6" s="1261">
        <f>[2]A3A!K16</f>
        <v>51212084.577957332</v>
      </c>
      <c r="K6" s="1253"/>
      <c r="L6" s="1254"/>
      <c r="M6" s="1254"/>
      <c r="N6" s="1254"/>
      <c r="O6" s="1254"/>
      <c r="P6" s="1254"/>
      <c r="Q6" s="1254"/>
      <c r="R6" s="1254"/>
      <c r="S6" s="1254"/>
      <c r="T6" s="1254"/>
      <c r="U6" s="1254"/>
      <c r="V6" s="1254"/>
    </row>
    <row r="7" spans="1:23" ht="11.25" customHeight="1">
      <c r="A7" s="1255" t="str">
        <f>[2]A3A!A27</f>
        <v>Vote 3 - Planning &amp; Development</v>
      </c>
      <c r="B7" s="1256">
        <f>[2]A3A!C27</f>
        <v>222706.78</v>
      </c>
      <c r="C7" s="1256">
        <f>[2]A3A!D27</f>
        <v>890578</v>
      </c>
      <c r="D7" s="1257">
        <f>[2]A3A!E27</f>
        <v>901416</v>
      </c>
      <c r="E7" s="1258">
        <f>[2]A3A!F27</f>
        <v>995372.5</v>
      </c>
      <c r="F7" s="1256">
        <f>[2]A3A!G27</f>
        <v>995372.5</v>
      </c>
      <c r="G7" s="1259">
        <f>[2]A3A!H27</f>
        <v>995372.5</v>
      </c>
      <c r="H7" s="1260">
        <f>[2]A3A!I27</f>
        <v>2293299.75</v>
      </c>
      <c r="I7" s="1256">
        <f>[2]A3A!J27</f>
        <v>1360326.7250000001</v>
      </c>
      <c r="J7" s="1261">
        <f>[2]A3A!K27</f>
        <v>1440086.6775</v>
      </c>
      <c r="K7" s="1253"/>
      <c r="L7" s="1254"/>
      <c r="M7" s="1254"/>
      <c r="N7" s="1254"/>
      <c r="O7" s="1254"/>
      <c r="P7" s="1254"/>
      <c r="Q7" s="1254"/>
      <c r="R7" s="1254"/>
      <c r="S7" s="1254"/>
      <c r="T7" s="1254"/>
      <c r="U7" s="1254"/>
      <c r="V7" s="1254"/>
    </row>
    <row r="8" spans="1:23" ht="11.25" customHeight="1">
      <c r="A8" s="1255" t="str">
        <f>[2]A3A!A38</f>
        <v>Vote 4 - Health</v>
      </c>
      <c r="B8" s="1256">
        <f>[2]A3A!C38</f>
        <v>2039367</v>
      </c>
      <c r="C8" s="1256">
        <f>[2]A3A!D38</f>
        <v>2365956</v>
      </c>
      <c r="D8" s="1257">
        <f>[2]A3A!E38</f>
        <v>1090842</v>
      </c>
      <c r="E8" s="1258">
        <f>[2]A3A!F38</f>
        <v>0</v>
      </c>
      <c r="F8" s="1256">
        <f>[2]A3A!G38</f>
        <v>0</v>
      </c>
      <c r="G8" s="1259">
        <f>[2]A3A!H38</f>
        <v>0</v>
      </c>
      <c r="H8" s="1260">
        <f>[2]A3A!I38</f>
        <v>0</v>
      </c>
      <c r="I8" s="1256">
        <f>[2]A3A!J38</f>
        <v>0</v>
      </c>
      <c r="J8" s="1261">
        <f>[2]A3A!K38</f>
        <v>0</v>
      </c>
      <c r="K8" s="1253"/>
      <c r="L8" s="1254"/>
      <c r="M8" s="1254"/>
      <c r="N8" s="1254"/>
      <c r="O8" s="1254"/>
      <c r="P8" s="1254"/>
      <c r="Q8" s="1254"/>
      <c r="R8" s="1254"/>
      <c r="S8" s="1254"/>
      <c r="T8" s="1254"/>
      <c r="U8" s="1254"/>
      <c r="V8" s="1254"/>
    </row>
    <row r="9" spans="1:23" ht="11.25" customHeight="1">
      <c r="A9" s="1255" t="str">
        <f>[2]A3A!A49</f>
        <v>Vote 5 - Community and Social Services</v>
      </c>
      <c r="B9" s="1256">
        <f>[2]A3A!C49</f>
        <v>174440.7</v>
      </c>
      <c r="C9" s="1256">
        <f>[2]A3A!D49</f>
        <v>246513</v>
      </c>
      <c r="D9" s="1257">
        <f>[2]A3A!E49</f>
        <v>90655</v>
      </c>
      <c r="E9" s="1258">
        <f>[2]A3A!F49</f>
        <v>99948.959999999992</v>
      </c>
      <c r="F9" s="1256">
        <f>[2]A3A!G49</f>
        <v>99948.959999999992</v>
      </c>
      <c r="G9" s="1259">
        <f>[2]A3A!H49</f>
        <v>99948.959999999992</v>
      </c>
      <c r="H9" s="1260">
        <f>[2]A3A!I49</f>
        <v>1265944.3663999999</v>
      </c>
      <c r="I9" s="1256">
        <f>[2]A3A!J49</f>
        <v>1274659.9157119999</v>
      </c>
      <c r="J9" s="1261">
        <f>[2]A3A!K49</f>
        <v>1284072.70896896</v>
      </c>
      <c r="K9" s="1253"/>
      <c r="L9" s="1254"/>
      <c r="M9" s="1254"/>
      <c r="N9" s="1254"/>
      <c r="O9" s="1254"/>
      <c r="P9" s="1254"/>
      <c r="Q9" s="1254"/>
      <c r="R9" s="1254"/>
      <c r="S9" s="1254"/>
      <c r="T9" s="1254"/>
      <c r="U9" s="1254"/>
      <c r="V9" s="1254"/>
    </row>
    <row r="10" spans="1:23" ht="11.25" customHeight="1">
      <c r="A10" s="1255" t="str">
        <f>[2]A3A!A60</f>
        <v>Vote 6 - Public Safety</v>
      </c>
      <c r="B10" s="1256">
        <f>[2]A3A!C60</f>
        <v>1702143</v>
      </c>
      <c r="C10" s="1256">
        <f>[2]A3A!D60</f>
        <v>3231103.7</v>
      </c>
      <c r="D10" s="1257">
        <f>[2]A3A!E60</f>
        <v>1453134</v>
      </c>
      <c r="E10" s="1258">
        <f>[2]A3A!F60</f>
        <v>1000000</v>
      </c>
      <c r="F10" s="1256">
        <f>[2]A3A!G60</f>
        <v>1375000</v>
      </c>
      <c r="G10" s="1259">
        <f>[2]A3A!H60</f>
        <v>1375000</v>
      </c>
      <c r="H10" s="1260">
        <f>[2]A3A!I60</f>
        <v>1060000</v>
      </c>
      <c r="I10" s="1256">
        <f>[2]A3A!J60</f>
        <v>1116180</v>
      </c>
      <c r="J10" s="1261">
        <f>[2]A3A!K60</f>
        <v>1170872.8199999998</v>
      </c>
      <c r="K10" s="1253"/>
      <c r="L10" s="1254"/>
      <c r="M10" s="1254"/>
      <c r="N10" s="1254"/>
      <c r="O10" s="1254"/>
      <c r="P10" s="1254"/>
      <c r="Q10" s="1254"/>
      <c r="R10" s="1254"/>
      <c r="S10" s="1254"/>
      <c r="T10" s="1254"/>
      <c r="U10" s="1254"/>
      <c r="V10" s="1254"/>
    </row>
    <row r="11" spans="1:23" ht="11.25" customHeight="1">
      <c r="A11" s="1255" t="str">
        <f>[2]A3A!A71</f>
        <v>Vote 7 - Sport and Recreation</v>
      </c>
      <c r="B11" s="1256">
        <f>[2]A3A!C71</f>
        <v>8120</v>
      </c>
      <c r="C11" s="1256">
        <f>[2]A3A!D71</f>
        <v>9533</v>
      </c>
      <c r="D11" s="1257">
        <f>[2]A3A!E71</f>
        <v>229266</v>
      </c>
      <c r="E11" s="1258">
        <f>[2]A3A!F71</f>
        <v>6947.24</v>
      </c>
      <c r="F11" s="1256">
        <f>[2]A3A!G71</f>
        <v>6947.24</v>
      </c>
      <c r="G11" s="1259">
        <f>[2]A3A!H71</f>
        <v>6947.24</v>
      </c>
      <c r="H11" s="1260">
        <f>[2]A3A!I71</f>
        <v>7572.4916000000012</v>
      </c>
      <c r="I11" s="1256">
        <f>[2]A3A!J71</f>
        <v>8217.2741240000014</v>
      </c>
      <c r="J11" s="1261">
        <f>[2]A3A!K71</f>
        <v>8917.1477375600043</v>
      </c>
      <c r="K11" s="1253"/>
      <c r="L11" s="1254"/>
      <c r="M11" s="1254"/>
      <c r="N11" s="1254"/>
      <c r="O11" s="1254"/>
      <c r="P11" s="1254"/>
      <c r="Q11" s="1254"/>
      <c r="R11" s="1254"/>
      <c r="S11" s="1254"/>
      <c r="T11" s="1254"/>
      <c r="U11" s="1254"/>
      <c r="V11" s="1254"/>
    </row>
    <row r="12" spans="1:23" ht="11.25" customHeight="1">
      <c r="A12" s="1255" t="str">
        <f>[2]A3A!A82</f>
        <v>Vote 8 - Environmental Protection</v>
      </c>
      <c r="B12" s="1256">
        <f>[2]A3A!C82</f>
        <v>538654.81000000006</v>
      </c>
      <c r="C12" s="1256">
        <f>[2]A3A!D82</f>
        <v>742285</v>
      </c>
      <c r="D12" s="1257">
        <f>[2]A3A!E82</f>
        <v>1114563</v>
      </c>
      <c r="E12" s="1258">
        <f>[2]A3A!F82</f>
        <v>913851</v>
      </c>
      <c r="F12" s="1256">
        <f>[2]A3A!G82</f>
        <v>913851</v>
      </c>
      <c r="G12" s="1259">
        <f>[2]A3A!H82</f>
        <v>913851</v>
      </c>
      <c r="H12" s="1260">
        <f>[2]A3A!I82</f>
        <v>968703.06</v>
      </c>
      <c r="I12" s="1256">
        <f>[2]A3A!J82</f>
        <v>1020064.92318</v>
      </c>
      <c r="J12" s="1261">
        <f>[2]A3A!K82</f>
        <v>1070073.6496558201</v>
      </c>
      <c r="K12" s="1253"/>
      <c r="L12" s="1254"/>
      <c r="M12" s="1254"/>
      <c r="N12" s="1254"/>
      <c r="O12" s="1254"/>
      <c r="P12" s="1254"/>
      <c r="Q12" s="1254"/>
      <c r="R12" s="1254"/>
      <c r="S12" s="1254"/>
      <c r="T12" s="1254"/>
      <c r="U12" s="1254"/>
      <c r="V12" s="1254"/>
    </row>
    <row r="13" spans="1:23" ht="11.25" customHeight="1">
      <c r="A13" s="1255" t="str">
        <f>[2]A3A!A93</f>
        <v>Vote 9 - Roads &amp; Transport</v>
      </c>
      <c r="B13" s="1256">
        <f>[2]A3A!C93</f>
        <v>4646173.58</v>
      </c>
      <c r="C13" s="1256">
        <f>[2]A3A!D93</f>
        <v>1772296</v>
      </c>
      <c r="D13" s="1257">
        <f>[2]A3A!E93</f>
        <v>2648984</v>
      </c>
      <c r="E13" s="1258">
        <f>[2]A3A!F93</f>
        <v>3727123.8710000003</v>
      </c>
      <c r="F13" s="1256">
        <f>[2]A3A!G93</f>
        <v>5727123.8710000003</v>
      </c>
      <c r="G13" s="1259">
        <f>[2]A3A!H93</f>
        <v>5727123.8710000003</v>
      </c>
      <c r="H13" s="1260">
        <f>[2]A3A!I93</f>
        <v>3830751.3032600004</v>
      </c>
      <c r="I13" s="1256">
        <f>[2]A3A!J93</f>
        <v>4033781.1223327797</v>
      </c>
      <c r="J13" s="1261">
        <f>[2]A3A!K93</f>
        <v>4231436.397327086</v>
      </c>
      <c r="K13" s="1253"/>
      <c r="L13" s="1254"/>
      <c r="M13" s="1254"/>
      <c r="N13" s="1254"/>
      <c r="O13" s="1254"/>
      <c r="P13" s="1254"/>
      <c r="Q13" s="1254"/>
      <c r="R13" s="1254"/>
      <c r="S13" s="1254"/>
      <c r="T13" s="1254"/>
      <c r="U13" s="1254"/>
      <c r="V13" s="1254"/>
      <c r="W13" s="1126"/>
    </row>
    <row r="14" spans="1:23" ht="11.25" customHeight="1">
      <c r="A14" s="1255" t="str">
        <f>[2]A3A!A104</f>
        <v>Vote 10 - Housing Services</v>
      </c>
      <c r="B14" s="1256">
        <f>[2]A3A!C104</f>
        <v>114362631</v>
      </c>
      <c r="C14" s="1256">
        <f>[2]A3A!D104</f>
        <v>142788</v>
      </c>
      <c r="D14" s="1257">
        <f>[2]A3A!E104</f>
        <v>113781</v>
      </c>
      <c r="E14" s="1258">
        <f>[2]A3A!F104</f>
        <v>168111.76</v>
      </c>
      <c r="F14" s="1256">
        <f>[2]A3A!G104</f>
        <v>168111.76</v>
      </c>
      <c r="G14" s="1259">
        <f>[2]A3A!H104</f>
        <v>168111.76</v>
      </c>
      <c r="H14" s="1260">
        <f>[2]A3A!I104</f>
        <v>86886.080000000016</v>
      </c>
      <c r="I14" s="1262">
        <f>[2]A3A!J104</f>
        <v>93836.966400000019</v>
      </c>
      <c r="J14" s="1261">
        <f>[2]A3A!K104</f>
        <v>101343.92371200003</v>
      </c>
      <c r="K14" s="1253"/>
      <c r="L14" s="1254"/>
      <c r="M14" s="1254"/>
      <c r="N14" s="1254"/>
      <c r="O14" s="1254"/>
      <c r="P14" s="1254"/>
      <c r="Q14" s="1254"/>
      <c r="R14" s="1254"/>
      <c r="S14" s="1254"/>
      <c r="T14" s="1254"/>
      <c r="U14" s="1254"/>
      <c r="V14" s="1254"/>
      <c r="W14" s="1126"/>
    </row>
    <row r="15" spans="1:23" ht="11.25" customHeight="1">
      <c r="A15" s="1255" t="str">
        <f>[2]A3A!A115</f>
        <v>Vote 11 - Solid Waste</v>
      </c>
      <c r="B15" s="1263">
        <f>[2]A3A!C115</f>
        <v>3764025</v>
      </c>
      <c r="C15" s="1263">
        <f>[2]A3A!D115</f>
        <v>3986797</v>
      </c>
      <c r="D15" s="1264">
        <f>[2]A3A!E115</f>
        <v>4570307</v>
      </c>
      <c r="E15" s="1265">
        <f>[2]A3A!F115</f>
        <v>9249571.7290000003</v>
      </c>
      <c r="F15" s="1263">
        <f>[2]A3A!G115</f>
        <v>9249571.7290000003</v>
      </c>
      <c r="G15" s="1266">
        <f>[2]A3A!H115</f>
        <v>9249571.7290000003</v>
      </c>
      <c r="H15" s="1267">
        <f>[2]A3A!I115</f>
        <v>10152753.384610001</v>
      </c>
      <c r="I15" s="1264">
        <f>[2]A3A!J115</f>
        <v>10925788.575378802</v>
      </c>
      <c r="J15" s="1268">
        <f>[2]A3A!K115</f>
        <v>11772740.117409106</v>
      </c>
      <c r="K15" s="1266">
        <f>[2]A5A!L115</f>
        <v>0</v>
      </c>
      <c r="L15" s="1254"/>
      <c r="M15" s="1254"/>
      <c r="N15" s="1254"/>
      <c r="O15" s="1254"/>
      <c r="P15" s="1254"/>
      <c r="Q15" s="1254"/>
      <c r="R15" s="1254"/>
      <c r="S15" s="1254"/>
      <c r="T15" s="1254"/>
      <c r="U15" s="1254"/>
      <c r="V15" s="1254"/>
      <c r="W15" s="1126"/>
    </row>
    <row r="16" spans="1:23" ht="11.25" customHeight="1">
      <c r="A16" s="1255" t="str">
        <f>[2]A3A!A126</f>
        <v>Vote 12 - Waste Water Management</v>
      </c>
      <c r="B16" s="1263">
        <f>[2]A3A!C126</f>
        <v>12068503</v>
      </c>
      <c r="C16" s="1263">
        <f>[2]A3A!D126</f>
        <v>12449322</v>
      </c>
      <c r="D16" s="1264">
        <f>[2]A3A!E126</f>
        <v>10016922</v>
      </c>
      <c r="E16" s="1265">
        <f>[2]A3A!F126</f>
        <v>4484897.9000000004</v>
      </c>
      <c r="F16" s="1263">
        <f>[2]A3A!G126</f>
        <v>4618762.9000000004</v>
      </c>
      <c r="G16" s="1266">
        <f>[2]A3A!H126</f>
        <v>4618762.9000000004</v>
      </c>
      <c r="H16" s="1267">
        <f>[2]A3A!I126</f>
        <v>4918383.33</v>
      </c>
      <c r="I16" s="1264">
        <f>[2]A3A!J126</f>
        <v>5295290.8140000002</v>
      </c>
      <c r="J16" s="1268">
        <f>[2]A3A!K126</f>
        <v>5707504.1642399998</v>
      </c>
      <c r="K16" s="1266">
        <f>[2]A5A!L126</f>
        <v>0</v>
      </c>
      <c r="L16" s="1254"/>
      <c r="M16" s="1254"/>
      <c r="N16" s="1254"/>
      <c r="O16" s="1254"/>
      <c r="P16" s="1254"/>
      <c r="Q16" s="1254"/>
      <c r="R16" s="1254"/>
      <c r="S16" s="1254"/>
      <c r="T16" s="1254"/>
      <c r="U16" s="1254"/>
      <c r="V16" s="1254"/>
      <c r="W16" s="1126"/>
    </row>
    <row r="17" spans="1:23" ht="11.25" customHeight="1">
      <c r="A17" s="1255" t="str">
        <f>[2]A3A!A137</f>
        <v>Vote 13 - Electricity</v>
      </c>
      <c r="B17" s="1263">
        <f>[2]A3A!C137</f>
        <v>6316449</v>
      </c>
      <c r="C17" s="1263">
        <f>[2]A3A!D137</f>
        <v>9880487</v>
      </c>
      <c r="D17" s="1264">
        <f>[2]A3A!E137</f>
        <v>12958647</v>
      </c>
      <c r="E17" s="1265">
        <f>[2]A3A!F137</f>
        <v>14867646.190384654</v>
      </c>
      <c r="F17" s="1263">
        <f>[2]A3A!G137</f>
        <v>17608812.190384656</v>
      </c>
      <c r="G17" s="1266">
        <f>[2]A3A!H137</f>
        <v>17608812.190384656</v>
      </c>
      <c r="H17" s="1267">
        <f>[2]A3A!I137</f>
        <v>19555955.270896658</v>
      </c>
      <c r="I17" s="1264">
        <f>[2]A3A!J137</f>
        <v>21707152.370695293</v>
      </c>
      <c r="J17" s="1268">
        <f>[2]A3A!K137</f>
        <v>23969240.532373112</v>
      </c>
      <c r="K17" s="1266">
        <f>[2]A5A!L137</f>
        <v>0</v>
      </c>
      <c r="L17" s="1254"/>
      <c r="M17" s="1254"/>
      <c r="N17" s="1254"/>
      <c r="O17" s="1254"/>
      <c r="P17" s="1254"/>
      <c r="Q17" s="1254"/>
      <c r="R17" s="1254"/>
      <c r="S17" s="1254"/>
      <c r="T17" s="1254"/>
      <c r="U17" s="1254"/>
      <c r="V17" s="1254"/>
      <c r="W17" s="1126"/>
    </row>
    <row r="18" spans="1:23" ht="11.25" customHeight="1">
      <c r="A18" s="1255" t="str">
        <f>[2]A3A!A148</f>
        <v>Vote 14 - Water Service Authority</v>
      </c>
      <c r="B18" s="1263">
        <f>[2]A3A!C148</f>
        <v>13306136.82</v>
      </c>
      <c r="C18" s="1263">
        <f>[2]A3A!D148</f>
        <v>16531395</v>
      </c>
      <c r="D18" s="1264">
        <f>[2]A3A!E148</f>
        <v>31550930</v>
      </c>
      <c r="E18" s="1265">
        <f>[2]A3A!F148</f>
        <v>33820859.502999999</v>
      </c>
      <c r="F18" s="1263">
        <f>[2]A3A!G148</f>
        <v>50615818.502999999</v>
      </c>
      <c r="G18" s="1266">
        <f>[2]A3A!H148</f>
        <v>50615818.502999999</v>
      </c>
      <c r="H18" s="1267">
        <f>[2]A3A!I148</f>
        <v>56231448.858270004</v>
      </c>
      <c r="I18" s="1264">
        <f>[2]A3A!J148</f>
        <v>48224353.086931601</v>
      </c>
      <c r="J18" s="1268">
        <f>[2]A3A!K148</f>
        <v>44541643.173886135</v>
      </c>
      <c r="K18" s="1266">
        <f>[2]A5A!L148</f>
        <v>0</v>
      </c>
      <c r="L18" s="1254"/>
      <c r="M18" s="1254"/>
      <c r="N18" s="1254"/>
      <c r="O18" s="1254"/>
      <c r="P18" s="1254"/>
      <c r="Q18" s="1254"/>
      <c r="R18" s="1254"/>
      <c r="S18" s="1254"/>
      <c r="T18" s="1254"/>
      <c r="U18" s="1254"/>
      <c r="V18" s="1254"/>
      <c r="W18" s="1126"/>
    </row>
    <row r="19" spans="1:23" ht="11.25" customHeight="1">
      <c r="A19" s="1255" t="str">
        <f>[2]A3A!A159</f>
        <v>Vote 15 - [NAME OF VOTE 15]</v>
      </c>
      <c r="B19" s="1263">
        <f>[2]A3A!C159</f>
        <v>0</v>
      </c>
      <c r="C19" s="1263">
        <f>[2]A3A!D159</f>
        <v>0</v>
      </c>
      <c r="D19" s="1264">
        <f>[2]A3A!E159</f>
        <v>0</v>
      </c>
      <c r="E19" s="1265">
        <f>[2]A3A!F159</f>
        <v>0</v>
      </c>
      <c r="F19" s="1263">
        <f>[2]A3A!G159</f>
        <v>0</v>
      </c>
      <c r="G19" s="1266">
        <f>[2]A3A!H159</f>
        <v>0</v>
      </c>
      <c r="H19" s="1269">
        <f>[2]A3A!I159</f>
        <v>0</v>
      </c>
      <c r="I19" s="1264">
        <f>[2]A3A!J159</f>
        <v>0</v>
      </c>
      <c r="J19" s="1268">
        <f>[2]A3A!K159</f>
        <v>0</v>
      </c>
      <c r="K19" s="1266">
        <f>[2]A5A!L159</f>
        <v>0</v>
      </c>
      <c r="L19" s="1254"/>
      <c r="M19" s="1254"/>
      <c r="N19" s="1254"/>
      <c r="O19" s="1254"/>
      <c r="P19" s="1254"/>
      <c r="Q19" s="1254"/>
      <c r="R19" s="1254"/>
      <c r="S19" s="1254"/>
      <c r="T19" s="1254"/>
      <c r="U19" s="1254"/>
      <c r="V19" s="1254"/>
      <c r="W19" s="1126"/>
    </row>
    <row r="20" spans="1:23" ht="11.25" customHeight="1">
      <c r="A20" s="1270" t="s">
        <v>120</v>
      </c>
      <c r="B20" s="1271">
        <f>SUM(B5:B19)</f>
        <v>193623059.47</v>
      </c>
      <c r="C20" s="1271">
        <f t="shared" ref="C20:J20" si="0">SUM(C5:C19)</f>
        <v>91478101.700000003</v>
      </c>
      <c r="D20" s="1272">
        <f t="shared" si="0"/>
        <v>116063733</v>
      </c>
      <c r="E20" s="1273">
        <f t="shared" si="0"/>
        <v>111031835.20266214</v>
      </c>
      <c r="F20" s="1271">
        <f t="shared" si="0"/>
        <v>133076825.20266214</v>
      </c>
      <c r="G20" s="1274">
        <f t="shared" si="0"/>
        <v>133076825.20266214</v>
      </c>
      <c r="H20" s="1275">
        <f t="shared" si="0"/>
        <v>146691793.76716226</v>
      </c>
      <c r="I20" s="1271">
        <f t="shared" si="0"/>
        <v>145080571.36093798</v>
      </c>
      <c r="J20" s="1276">
        <f t="shared" si="0"/>
        <v>149487015.89076713</v>
      </c>
      <c r="K20" s="1277"/>
      <c r="L20" s="1278"/>
      <c r="M20" s="1278"/>
      <c r="N20" s="1278"/>
      <c r="O20" s="1278"/>
      <c r="P20" s="1278"/>
      <c r="Q20" s="1278"/>
      <c r="R20" s="1278"/>
      <c r="S20" s="1278"/>
      <c r="T20" s="1278"/>
      <c r="U20" s="1278"/>
      <c r="V20" s="1278"/>
      <c r="W20" s="1126"/>
    </row>
    <row r="21" spans="1:23" ht="5.0999999999999996" customHeight="1">
      <c r="A21" s="1279"/>
      <c r="B21" s="1280"/>
      <c r="C21" s="1280"/>
      <c r="D21" s="1281"/>
      <c r="E21" s="1282"/>
      <c r="F21" s="1280"/>
      <c r="G21" s="1283"/>
      <c r="H21" s="1284"/>
      <c r="I21" s="1280"/>
      <c r="J21" s="1285"/>
      <c r="K21" s="1286"/>
      <c r="L21" s="1287"/>
      <c r="M21" s="1287"/>
      <c r="N21" s="1287"/>
      <c r="O21" s="1287"/>
      <c r="P21" s="1287"/>
      <c r="Q21" s="1287"/>
      <c r="R21" s="1287"/>
      <c r="S21" s="1287"/>
      <c r="T21" s="1287"/>
      <c r="U21" s="1287"/>
      <c r="V21" s="1287"/>
      <c r="W21" s="1126"/>
    </row>
    <row r="22" spans="1:23" ht="11.25" customHeight="1">
      <c r="A22" s="1246" t="s">
        <v>121</v>
      </c>
      <c r="B22" s="1280"/>
      <c r="C22" s="1280"/>
      <c r="D22" s="1281"/>
      <c r="E22" s="1282"/>
      <c r="F22" s="1280"/>
      <c r="G22" s="1283"/>
      <c r="H22" s="1284"/>
      <c r="I22" s="1280"/>
      <c r="J22" s="1285"/>
      <c r="K22" s="1286"/>
      <c r="L22" s="1287"/>
      <c r="M22" s="1287"/>
      <c r="N22" s="1287"/>
      <c r="O22" s="1287"/>
      <c r="P22" s="1287"/>
      <c r="Q22" s="1287"/>
      <c r="R22" s="1287"/>
      <c r="S22" s="1287"/>
      <c r="T22" s="1287"/>
      <c r="U22" s="1287"/>
      <c r="V22" s="1287"/>
      <c r="W22" s="1126"/>
    </row>
    <row r="23" spans="1:23" ht="11.25" customHeight="1">
      <c r="A23" s="1255" t="str">
        <f>[2]A3A!A173</f>
        <v>Vote 1 - Executive &amp; Council</v>
      </c>
      <c r="B23" s="1256">
        <f>[2]A3A!C173</f>
        <v>5455976.6100000003</v>
      </c>
      <c r="C23" s="1256">
        <f>[2]A3A!D173</f>
        <v>6293788</v>
      </c>
      <c r="D23" s="1257">
        <f>[2]A3A!E173</f>
        <v>5561843</v>
      </c>
      <c r="E23" s="1258">
        <f>[2]A3A!F173</f>
        <v>8394049.8272161353</v>
      </c>
      <c r="F23" s="1256">
        <f>[2]A3A!G173</f>
        <v>8181926.8272161353</v>
      </c>
      <c r="G23" s="1259">
        <f>[2]A3A!H173</f>
        <v>8181926.8272161353</v>
      </c>
      <c r="H23" s="1260">
        <f>[2]A3A!I173</f>
        <v>11771334.322633691</v>
      </c>
      <c r="I23" s="1256">
        <f>[2]A3A!J173</f>
        <v>12495318.998812513</v>
      </c>
      <c r="J23" s="1261">
        <f>[2]A3A!K173</f>
        <v>13190978.211014271</v>
      </c>
      <c r="K23" s="1286"/>
      <c r="L23" s="1287"/>
      <c r="M23" s="1287"/>
      <c r="N23" s="1287"/>
      <c r="O23" s="1287"/>
      <c r="P23" s="1287"/>
      <c r="Q23" s="1287"/>
      <c r="R23" s="1287"/>
      <c r="S23" s="1287"/>
      <c r="T23" s="1287"/>
      <c r="U23" s="1287"/>
      <c r="V23" s="1287"/>
      <c r="W23" s="1126"/>
    </row>
    <row r="24" spans="1:23" ht="11.25" customHeight="1">
      <c r="A24" s="1255" t="str">
        <f>[2]A3A!A184</f>
        <v>Vote 2 - Finance &amp; Administration</v>
      </c>
      <c r="B24" s="1256">
        <f>[2]A3A!C184</f>
        <v>33767197.170000002</v>
      </c>
      <c r="C24" s="1256">
        <f>[2]A3A!D184</f>
        <v>47882869</v>
      </c>
      <c r="D24" s="1257">
        <f>[2]A3A!E184</f>
        <v>44495446</v>
      </c>
      <c r="E24" s="1258">
        <f>[2]A3A!F184</f>
        <v>34100794.988207631</v>
      </c>
      <c r="F24" s="1256">
        <f>[2]A3A!G184</f>
        <v>46160964.988207631</v>
      </c>
      <c r="G24" s="1259">
        <f>[2]A3A!H184</f>
        <v>46160964.988207631</v>
      </c>
      <c r="H24" s="1260">
        <f>[2]A3A!I184</f>
        <v>41983724.609066054</v>
      </c>
      <c r="I24" s="1256">
        <f>[2]A3A!J184</f>
        <v>43023504.9852577</v>
      </c>
      <c r="J24" s="1261">
        <f>[2]A3A!K184</f>
        <v>44412641.295826606</v>
      </c>
      <c r="K24" s="1288"/>
      <c r="L24" s="1289"/>
      <c r="M24" s="1289"/>
      <c r="N24" s="1289"/>
      <c r="O24" s="1289"/>
      <c r="P24" s="1289"/>
      <c r="Q24" s="1289"/>
      <c r="R24" s="1289"/>
      <c r="S24" s="1289"/>
      <c r="T24" s="1289"/>
      <c r="U24" s="1289"/>
      <c r="V24" s="1289"/>
      <c r="W24" s="1126"/>
    </row>
    <row r="25" spans="1:23" ht="11.25" customHeight="1">
      <c r="A25" s="1255" t="str">
        <f>[2]A3A!A195</f>
        <v>Vote 3 - Planning &amp; Development</v>
      </c>
      <c r="B25" s="1256">
        <f>[2]A3A!C195</f>
        <v>3332288</v>
      </c>
      <c r="C25" s="1256">
        <f>[2]A3A!D195</f>
        <v>3892474</v>
      </c>
      <c r="D25" s="1257">
        <f>[2]A3A!E195</f>
        <v>3664444</v>
      </c>
      <c r="E25" s="1258">
        <f>[2]A3A!F195</f>
        <v>4762995.4357235972</v>
      </c>
      <c r="F25" s="1256">
        <f>[2]A3A!G195</f>
        <v>5408765.4357235972</v>
      </c>
      <c r="G25" s="1259">
        <f>[2]A3A!H195</f>
        <v>5408765.4357235972</v>
      </c>
      <c r="H25" s="1260">
        <f>[2]A3A!I195</f>
        <v>6137030.2802410433</v>
      </c>
      <c r="I25" s="1256">
        <f>[2]A3A!J195</f>
        <v>6446767.7295002909</v>
      </c>
      <c r="J25" s="1261">
        <f>[2]A3A!K195</f>
        <v>6810763.0321000172</v>
      </c>
      <c r="K25" s="1288"/>
      <c r="L25" s="1289"/>
      <c r="M25" s="1289"/>
      <c r="N25" s="1289"/>
      <c r="O25" s="1289"/>
      <c r="P25" s="1289"/>
      <c r="Q25" s="1289"/>
      <c r="R25" s="1289"/>
      <c r="S25" s="1289"/>
      <c r="T25" s="1289"/>
      <c r="U25" s="1289"/>
      <c r="V25" s="1289"/>
      <c r="W25" s="1126"/>
    </row>
    <row r="26" spans="1:23" ht="11.25" customHeight="1">
      <c r="A26" s="1255" t="str">
        <f>[2]A3A!A206</f>
        <v>Vote 4 - Health</v>
      </c>
      <c r="B26" s="1256">
        <f>[2]A3A!C206</f>
        <v>2161308</v>
      </c>
      <c r="C26" s="1256">
        <f>[2]A3A!D206</f>
        <v>1895053</v>
      </c>
      <c r="D26" s="1257">
        <f>[2]A3A!E206</f>
        <v>1127833</v>
      </c>
      <c r="E26" s="1258">
        <f>[2]A3A!F206</f>
        <v>0</v>
      </c>
      <c r="F26" s="1256">
        <f>[2]A3A!G206</f>
        <v>0</v>
      </c>
      <c r="G26" s="1259">
        <f>[2]A3A!H206</f>
        <v>0</v>
      </c>
      <c r="H26" s="1260">
        <f>[2]A3A!I206</f>
        <v>0</v>
      </c>
      <c r="I26" s="1256">
        <f>[2]A3A!J206</f>
        <v>0</v>
      </c>
      <c r="J26" s="1261">
        <f>[2]A3A!K206</f>
        <v>0</v>
      </c>
      <c r="K26" s="1288"/>
      <c r="L26" s="1289"/>
      <c r="M26" s="1289"/>
      <c r="N26" s="1289"/>
      <c r="O26" s="1289"/>
      <c r="P26" s="1289"/>
      <c r="Q26" s="1289"/>
      <c r="R26" s="1289"/>
      <c r="S26" s="1289"/>
      <c r="T26" s="1289"/>
      <c r="U26" s="1289"/>
      <c r="V26" s="1289"/>
      <c r="W26" s="1126"/>
    </row>
    <row r="27" spans="1:23" ht="11.25" customHeight="1">
      <c r="A27" s="1255" t="str">
        <f>[2]A3A!A217</f>
        <v>Vote 5 - Community and Social Services</v>
      </c>
      <c r="B27" s="1256">
        <f>[2]A3A!C217</f>
        <v>2435692.6</v>
      </c>
      <c r="C27" s="1256">
        <f>[2]A3A!D217</f>
        <v>1947079</v>
      </c>
      <c r="D27" s="1257">
        <f>[2]A3A!E217</f>
        <v>1945727</v>
      </c>
      <c r="E27" s="1258">
        <f>[2]A3A!F217</f>
        <v>2607019.7374877599</v>
      </c>
      <c r="F27" s="1256">
        <f>[2]A3A!G217</f>
        <v>2584717.7374877599</v>
      </c>
      <c r="G27" s="1259">
        <f>[2]A3A!H217</f>
        <v>2584717.7374877599</v>
      </c>
      <c r="H27" s="1260">
        <f>[2]A3A!I217</f>
        <v>3085682.181917266</v>
      </c>
      <c r="I27" s="1256">
        <f>[2]A3A!J217</f>
        <v>3279225.438940173</v>
      </c>
      <c r="J27" s="1261">
        <f>[2]A3A!K217</f>
        <v>3482950.8647347186</v>
      </c>
      <c r="K27" s="1288"/>
      <c r="L27" s="1289"/>
      <c r="M27" s="1289"/>
      <c r="N27" s="1289"/>
      <c r="O27" s="1289"/>
      <c r="P27" s="1289"/>
      <c r="Q27" s="1289"/>
      <c r="R27" s="1289"/>
      <c r="S27" s="1289"/>
      <c r="T27" s="1289"/>
      <c r="U27" s="1289"/>
      <c r="V27" s="1289"/>
      <c r="W27" s="1126"/>
    </row>
    <row r="28" spans="1:23" ht="11.25" customHeight="1">
      <c r="A28" s="1255" t="str">
        <f>[2]A3A!A228</f>
        <v>Vote 6 - Public Safety</v>
      </c>
      <c r="B28" s="1256">
        <f>[2]A3A!C228</f>
        <v>6857920.1200000001</v>
      </c>
      <c r="C28" s="1256">
        <f>[2]A3A!D228</f>
        <v>5705144</v>
      </c>
      <c r="D28" s="1257">
        <f>[2]A3A!E228</f>
        <v>5286400</v>
      </c>
      <c r="E28" s="1258">
        <f>[2]A3A!F228</f>
        <v>5986308.9683511304</v>
      </c>
      <c r="F28" s="1256">
        <f>[2]A3A!G228</f>
        <v>6137889.9683511304</v>
      </c>
      <c r="G28" s="1259">
        <f>[2]A3A!H228</f>
        <v>6137889.9683511304</v>
      </c>
      <c r="H28" s="1260">
        <f>[2]A3A!I228</f>
        <v>6693204.6327625923</v>
      </c>
      <c r="I28" s="1256">
        <f>[2]A3A!J228</f>
        <v>7026312.3458756302</v>
      </c>
      <c r="J28" s="1261">
        <f>[2]A3A!K228</f>
        <v>7418760.5616725916</v>
      </c>
      <c r="K28" s="1288"/>
      <c r="L28" s="1289"/>
      <c r="M28" s="1289"/>
      <c r="N28" s="1289"/>
      <c r="O28" s="1289"/>
      <c r="P28" s="1289"/>
      <c r="Q28" s="1289"/>
      <c r="R28" s="1289"/>
      <c r="S28" s="1289"/>
      <c r="T28" s="1289"/>
      <c r="U28" s="1289"/>
      <c r="V28" s="1289"/>
      <c r="W28" s="1126"/>
    </row>
    <row r="29" spans="1:23" ht="11.25" customHeight="1">
      <c r="A29" s="1255" t="str">
        <f>[2]A3A!A239</f>
        <v>Vote 7 - Sport and Recreation</v>
      </c>
      <c r="B29" s="1256">
        <f>[2]A3A!C239</f>
        <v>948725</v>
      </c>
      <c r="C29" s="1256">
        <f>[2]A3A!D239</f>
        <v>854219</v>
      </c>
      <c r="D29" s="1257">
        <f>[2]A3A!E239</f>
        <v>1073392</v>
      </c>
      <c r="E29" s="1258">
        <f>[2]A3A!F239</f>
        <v>1127571.1218775022</v>
      </c>
      <c r="F29" s="1256">
        <f>[2]A3A!G239</f>
        <v>1121571.1218775022</v>
      </c>
      <c r="G29" s="1259">
        <f>[2]A3A!H239</f>
        <v>1121571.1218775022</v>
      </c>
      <c r="H29" s="1260">
        <f>[2]A3A!I239</f>
        <v>703122.04536509002</v>
      </c>
      <c r="I29" s="1256">
        <f>[2]A3A!J239</f>
        <v>742669.42721527978</v>
      </c>
      <c r="J29" s="1261">
        <f>[2]A3A!K239</f>
        <v>782861.24497432762</v>
      </c>
      <c r="K29" s="1288"/>
      <c r="L29" s="1289"/>
      <c r="M29" s="1289"/>
      <c r="N29" s="1289"/>
      <c r="O29" s="1289"/>
      <c r="P29" s="1289"/>
      <c r="Q29" s="1289"/>
      <c r="R29" s="1289"/>
      <c r="S29" s="1289"/>
      <c r="T29" s="1289"/>
      <c r="U29" s="1289"/>
      <c r="V29" s="1289"/>
      <c r="W29" s="1126"/>
    </row>
    <row r="30" spans="1:23" ht="11.25" customHeight="1">
      <c r="A30" s="1255" t="str">
        <f>[2]A3A!A250</f>
        <v>Vote 8 - Environmental Protection</v>
      </c>
      <c r="B30" s="1256">
        <f>[2]A3A!C250</f>
        <v>729021</v>
      </c>
      <c r="C30" s="1256">
        <f>[2]A3A!D250</f>
        <v>793632</v>
      </c>
      <c r="D30" s="1257">
        <f>[2]A3A!E250</f>
        <v>792307</v>
      </c>
      <c r="E30" s="1258">
        <f>[2]A3A!F250</f>
        <v>936770.07144720014</v>
      </c>
      <c r="F30" s="1256">
        <f>[2]A3A!G250</f>
        <v>936770.07144720014</v>
      </c>
      <c r="G30" s="1259">
        <f>[2]A3A!H250</f>
        <v>936770.07144720014</v>
      </c>
      <c r="H30" s="1260">
        <f>[2]A3A!I250</f>
        <v>1034929.6805700001</v>
      </c>
      <c r="I30" s="1256">
        <f>[2]A3A!J250</f>
        <v>1095063.9554342101</v>
      </c>
      <c r="J30" s="1261">
        <f>[2]A3A!K250</f>
        <v>1157522.0608102065</v>
      </c>
      <c r="K30" s="1288"/>
      <c r="L30" s="1289"/>
      <c r="M30" s="1289"/>
      <c r="N30" s="1289"/>
      <c r="O30" s="1289"/>
      <c r="P30" s="1289"/>
      <c r="Q30" s="1289"/>
      <c r="R30" s="1289"/>
      <c r="S30" s="1289"/>
      <c r="T30" s="1289"/>
      <c r="U30" s="1289"/>
      <c r="V30" s="1289"/>
      <c r="W30" s="1126"/>
    </row>
    <row r="31" spans="1:23" ht="11.25" customHeight="1">
      <c r="A31" s="1255" t="str">
        <f>[2]A3A!A261</f>
        <v>Vote 9 - Roads &amp; Transport</v>
      </c>
      <c r="B31" s="1256">
        <f>[2]A3A!C261</f>
        <v>1939963.17</v>
      </c>
      <c r="C31" s="1256">
        <f>[2]A3A!D261</f>
        <v>1971656</v>
      </c>
      <c r="D31" s="1257">
        <f>[2]A3A!E261</f>
        <v>2140443</v>
      </c>
      <c r="E31" s="1258">
        <f>[2]A3A!F261</f>
        <v>4187264.1979464004</v>
      </c>
      <c r="F31" s="1256">
        <f>[2]A3A!G261</f>
        <v>3087264.1979464004</v>
      </c>
      <c r="G31" s="1259">
        <f>[2]A3A!H261</f>
        <v>3087264.1979464004</v>
      </c>
      <c r="H31" s="1260">
        <f>[2]A3A!I261</f>
        <v>5042186.3248621766</v>
      </c>
      <c r="I31" s="1256">
        <f>[2]A3A!J261</f>
        <v>5323707.9910962917</v>
      </c>
      <c r="J31" s="1261">
        <f>[2]A3A!K261</f>
        <v>5608365.7288387883</v>
      </c>
      <c r="K31" s="1288"/>
      <c r="L31" s="1289"/>
      <c r="M31" s="1289"/>
      <c r="N31" s="1289"/>
      <c r="O31" s="1289"/>
      <c r="P31" s="1289"/>
      <c r="Q31" s="1289"/>
      <c r="R31" s="1289"/>
      <c r="S31" s="1289"/>
      <c r="T31" s="1289"/>
      <c r="U31" s="1289"/>
      <c r="V31" s="1289"/>
      <c r="W31" s="1126"/>
    </row>
    <row r="32" spans="1:23" ht="11.25" customHeight="1">
      <c r="A32" s="1255" t="str">
        <f>[2]A3A!A272</f>
        <v>Vote 10 - Housing Services</v>
      </c>
      <c r="B32" s="1256">
        <f>[2]A3A!C272</f>
        <v>114441051</v>
      </c>
      <c r="C32" s="1256">
        <f>[2]A3A!D272</f>
        <v>319310</v>
      </c>
      <c r="D32" s="1257">
        <f>[2]A3A!E272</f>
        <v>187001</v>
      </c>
      <c r="E32" s="1258">
        <f>[2]A3A!F272</f>
        <v>484712.356981672</v>
      </c>
      <c r="F32" s="1256">
        <f>[2]A3A!G272</f>
        <v>183696.356981672</v>
      </c>
      <c r="G32" s="1259">
        <f>[2]A3A!H272</f>
        <v>183696.356981672</v>
      </c>
      <c r="H32" s="1260">
        <f>[2]A3A!I272</f>
        <v>349030.12461814034</v>
      </c>
      <c r="I32" s="1256">
        <f>[2]A3A!J272</f>
        <v>369017.11614140181</v>
      </c>
      <c r="J32" s="1261">
        <f>[2]A3A!K272</f>
        <v>389578.19551086047</v>
      </c>
      <c r="K32" s="1288"/>
      <c r="L32" s="1289"/>
      <c r="M32" s="1289"/>
      <c r="N32" s="1289"/>
      <c r="O32" s="1289"/>
      <c r="P32" s="1289"/>
      <c r="Q32" s="1289"/>
      <c r="R32" s="1289"/>
      <c r="S32" s="1289"/>
      <c r="T32" s="1289"/>
      <c r="U32" s="1289"/>
      <c r="V32" s="1289"/>
      <c r="W32" s="1126"/>
    </row>
    <row r="33" spans="1:23" ht="11.25" customHeight="1">
      <c r="A33" s="1255" t="str">
        <f>[2]A3A!A283</f>
        <v>Vote 11 - Solid Waste</v>
      </c>
      <c r="B33" s="1290">
        <f>[2]A3A!C283</f>
        <v>3101648.53</v>
      </c>
      <c r="C33" s="1290">
        <f>[2]A3A!D283</f>
        <v>3511712</v>
      </c>
      <c r="D33" s="1266">
        <f>[2]A3A!E283</f>
        <v>3635047</v>
      </c>
      <c r="E33" s="1265">
        <f>[2]A3A!F283</f>
        <v>3064958.6482262416</v>
      </c>
      <c r="F33" s="1263">
        <f>[2]A3A!G283</f>
        <v>4064958.6482262416</v>
      </c>
      <c r="G33" s="1266">
        <f>[2]A3A!H283</f>
        <v>4064958.6482262416</v>
      </c>
      <c r="H33" s="1267">
        <f>[2]A3A!I283</f>
        <v>5433226.1193335531</v>
      </c>
      <c r="I33" s="1263">
        <f>[2]A3A!J283</f>
        <v>5737054.0996934092</v>
      </c>
      <c r="J33" s="1268">
        <f>[2]A3A!K283</f>
        <v>6044599.6325455522</v>
      </c>
      <c r="K33" s="1266">
        <f>[2]A3A!L284</f>
        <v>0</v>
      </c>
      <c r="L33" s="1289"/>
      <c r="M33" s="1289"/>
      <c r="N33" s="1289"/>
      <c r="O33" s="1289"/>
      <c r="P33" s="1289"/>
      <c r="Q33" s="1289"/>
      <c r="R33" s="1289"/>
      <c r="S33" s="1289"/>
      <c r="T33" s="1289"/>
      <c r="U33" s="1289"/>
      <c r="V33" s="1289"/>
      <c r="W33" s="1126"/>
    </row>
    <row r="34" spans="1:23" ht="11.25" customHeight="1">
      <c r="A34" s="1255" t="str">
        <f>[2]A3A!A294</f>
        <v>Vote 12 - Waste Water Management</v>
      </c>
      <c r="B34" s="1290">
        <f>[2]A3A!C294</f>
        <v>2350619.0100000002</v>
      </c>
      <c r="C34" s="1290">
        <f>[2]A3A!D294</f>
        <v>2233609</v>
      </c>
      <c r="D34" s="1266">
        <f>[2]A3A!E294</f>
        <v>2937166</v>
      </c>
      <c r="E34" s="1265">
        <f>[2]A3A!F294</f>
        <v>4480158.7518120036</v>
      </c>
      <c r="F34" s="1263">
        <f>[2]A3A!G294</f>
        <v>3580158.7518120036</v>
      </c>
      <c r="G34" s="1266">
        <f>[2]A3A!H294</f>
        <v>3580158.7518120036</v>
      </c>
      <c r="H34" s="1267">
        <f>[2]A3A!I294</f>
        <v>4734231.970040882</v>
      </c>
      <c r="I34" s="1263">
        <f>[2]A3A!J294</f>
        <v>4983334.3728687214</v>
      </c>
      <c r="J34" s="1268">
        <f>[2]A3A!K294</f>
        <v>5254749.1255438654</v>
      </c>
      <c r="K34" s="1266">
        <f>[2]A3A!L295</f>
        <v>0</v>
      </c>
      <c r="L34" s="1289"/>
      <c r="M34" s="1289"/>
      <c r="N34" s="1289"/>
      <c r="O34" s="1289"/>
      <c r="P34" s="1289"/>
      <c r="Q34" s="1289"/>
      <c r="R34" s="1289"/>
      <c r="S34" s="1289"/>
      <c r="T34" s="1289"/>
      <c r="U34" s="1289"/>
      <c r="V34" s="1289"/>
      <c r="W34" s="1126"/>
    </row>
    <row r="35" spans="1:23" ht="11.25" customHeight="1">
      <c r="A35" s="1255" t="str">
        <f>[2]A3A!A305</f>
        <v>Vote 13 - Electricity</v>
      </c>
      <c r="B35" s="1291">
        <f>[2]A3A!C305</f>
        <v>6072609.0300000003</v>
      </c>
      <c r="C35" s="1291">
        <f>[2]A3A!D305</f>
        <v>7859689</v>
      </c>
      <c r="D35" s="1292">
        <f>[2]A3A!E305</f>
        <v>9406966</v>
      </c>
      <c r="E35" s="1293">
        <f>[2]A3A!F305</f>
        <v>12764177.904077997</v>
      </c>
      <c r="F35" s="1294">
        <f>[2]A3A!G305</f>
        <v>12564177.904077997</v>
      </c>
      <c r="G35" s="1292">
        <f>[2]A3A!H305</f>
        <v>12564177.904077997</v>
      </c>
      <c r="H35" s="1295">
        <f>[2]A3A!I305</f>
        <v>14829536.235975929</v>
      </c>
      <c r="I35" s="1294">
        <f>[2]A3A!J305</f>
        <v>16641474.234985361</v>
      </c>
      <c r="J35" s="1296">
        <f>[2]A3A!K305</f>
        <v>18652854.31034673</v>
      </c>
      <c r="K35" s="1292">
        <f>[2]A3A!L306</f>
        <v>0</v>
      </c>
      <c r="L35" s="1289"/>
      <c r="M35" s="1289"/>
      <c r="N35" s="1289"/>
      <c r="O35" s="1289"/>
      <c r="P35" s="1289"/>
      <c r="Q35" s="1289"/>
      <c r="R35" s="1289"/>
      <c r="S35" s="1289"/>
      <c r="T35" s="1289"/>
      <c r="U35" s="1289"/>
      <c r="V35" s="1289"/>
      <c r="W35" s="1126"/>
    </row>
    <row r="36" spans="1:23" ht="11.25" customHeight="1">
      <c r="A36" s="1255" t="str">
        <f>[2]A3A!A316</f>
        <v>Vote 14 - Water Service Authority</v>
      </c>
      <c r="B36" s="1291">
        <f>[2]A3A!C316</f>
        <v>5609141.9999999991</v>
      </c>
      <c r="C36" s="1291">
        <f>[2]A3A!D316</f>
        <v>5849159</v>
      </c>
      <c r="D36" s="1292">
        <f>[2]A3A!E316</f>
        <v>6949680</v>
      </c>
      <c r="E36" s="1293">
        <f>[2]A3A!F316</f>
        <v>8193965.3857500693</v>
      </c>
      <c r="F36" s="1294">
        <f>[2]A3A!G316</f>
        <v>8435666.3857500684</v>
      </c>
      <c r="G36" s="1292">
        <f>[2]A3A!H316</f>
        <v>8435666.3857500684</v>
      </c>
      <c r="H36" s="1295">
        <f>[2]A3A!I316</f>
        <v>8504697.8230323754</v>
      </c>
      <c r="I36" s="1294">
        <f>[2]A3A!J316</f>
        <v>9068128.1822158322</v>
      </c>
      <c r="J36" s="1296">
        <f>[2]A3A!K316</f>
        <v>9657932.2117572855</v>
      </c>
      <c r="K36" s="1292">
        <f>[2]A3A!L317</f>
        <v>0</v>
      </c>
      <c r="L36" s="1289"/>
      <c r="M36" s="1289"/>
      <c r="N36" s="1289"/>
      <c r="O36" s="1289"/>
      <c r="P36" s="1289"/>
      <c r="Q36" s="1289"/>
      <c r="R36" s="1289"/>
      <c r="S36" s="1289"/>
      <c r="T36" s="1289"/>
      <c r="U36" s="1289"/>
      <c r="V36" s="1289"/>
      <c r="W36" s="1126"/>
    </row>
    <row r="37" spans="1:23" ht="11.25" customHeight="1">
      <c r="A37" s="1255" t="str">
        <f>[2]A3A!A327</f>
        <v>Vote 15 - [NAME OF VOTE 15]</v>
      </c>
      <c r="B37" s="1291">
        <f>[2]A3A!C327</f>
        <v>0</v>
      </c>
      <c r="C37" s="1291">
        <f>[2]A3A!D327</f>
        <v>0</v>
      </c>
      <c r="D37" s="1292">
        <f>[2]A3A!E327</f>
        <v>0</v>
      </c>
      <c r="E37" s="1293">
        <f>[2]A3A!F327</f>
        <v>0</v>
      </c>
      <c r="F37" s="1294">
        <f>[2]A3A!G327</f>
        <v>0</v>
      </c>
      <c r="G37" s="1292">
        <f>[2]A3A!H327</f>
        <v>0</v>
      </c>
      <c r="H37" s="1295">
        <f>[2]A3A!I327</f>
        <v>0</v>
      </c>
      <c r="I37" s="1294">
        <f>[2]A3A!J327</f>
        <v>0</v>
      </c>
      <c r="J37" s="1296">
        <f>[2]A3A!K327</f>
        <v>0</v>
      </c>
      <c r="K37" s="1292">
        <f>[2]A3A!L328</f>
        <v>0</v>
      </c>
      <c r="L37" s="1289"/>
      <c r="M37" s="1289"/>
      <c r="N37" s="1289"/>
      <c r="O37" s="1289"/>
      <c r="P37" s="1289"/>
      <c r="Q37" s="1289"/>
      <c r="R37" s="1289"/>
      <c r="S37" s="1289"/>
      <c r="T37" s="1289"/>
      <c r="U37" s="1289"/>
      <c r="V37" s="1289"/>
      <c r="W37" s="1126"/>
    </row>
    <row r="38" spans="1:23" ht="11.25" customHeight="1">
      <c r="A38" s="1270" t="s">
        <v>122</v>
      </c>
      <c r="B38" s="1297">
        <f>SUM(B23:B37)</f>
        <v>189203161.24000001</v>
      </c>
      <c r="C38" s="1297">
        <f t="shared" ref="C38:J38" si="1">SUM(C23:C37)</f>
        <v>91009393</v>
      </c>
      <c r="D38" s="1298">
        <f t="shared" si="1"/>
        <v>89203695</v>
      </c>
      <c r="E38" s="1299">
        <f t="shared" si="1"/>
        <v>91090747.395105332</v>
      </c>
      <c r="F38" s="1297">
        <f t="shared" si="1"/>
        <v>102448528.39510533</v>
      </c>
      <c r="G38" s="1300">
        <f t="shared" si="1"/>
        <v>102448528.39510533</v>
      </c>
      <c r="H38" s="1301">
        <f t="shared" si="1"/>
        <v>110301936.35041881</v>
      </c>
      <c r="I38" s="1297">
        <f t="shared" si="1"/>
        <v>116231578.8780368</v>
      </c>
      <c r="J38" s="1302">
        <f t="shared" si="1"/>
        <v>122864556.47567584</v>
      </c>
      <c r="K38" s="1277">
        <f t="shared" ref="K38:V38" si="2">SUM(K23:K29)</f>
        <v>0</v>
      </c>
      <c r="L38" s="1278">
        <f t="shared" si="2"/>
        <v>0</v>
      </c>
      <c r="M38" s="1278">
        <f t="shared" si="2"/>
        <v>0</v>
      </c>
      <c r="N38" s="1278">
        <f t="shared" si="2"/>
        <v>0</v>
      </c>
      <c r="O38" s="1278">
        <f t="shared" si="2"/>
        <v>0</v>
      </c>
      <c r="P38" s="1278">
        <f t="shared" si="2"/>
        <v>0</v>
      </c>
      <c r="Q38" s="1278">
        <f t="shared" si="2"/>
        <v>0</v>
      </c>
      <c r="R38" s="1278">
        <f t="shared" si="2"/>
        <v>0</v>
      </c>
      <c r="S38" s="1278">
        <f t="shared" si="2"/>
        <v>0</v>
      </c>
      <c r="T38" s="1278">
        <f t="shared" si="2"/>
        <v>0</v>
      </c>
      <c r="U38" s="1278">
        <f t="shared" si="2"/>
        <v>0</v>
      </c>
      <c r="V38" s="1278">
        <f t="shared" si="2"/>
        <v>0</v>
      </c>
      <c r="W38" s="1126"/>
    </row>
    <row r="39" spans="1:23" ht="13.5" thickBot="1">
      <c r="A39" s="1303" t="str">
        <f>result</f>
        <v>Surplus/(Deficit) for the year</v>
      </c>
      <c r="B39" s="1304">
        <f t="shared" ref="B39:V39" si="3">B20-B38</f>
        <v>4419898.2299999893</v>
      </c>
      <c r="C39" s="1304">
        <f t="shared" si="3"/>
        <v>468708.70000000298</v>
      </c>
      <c r="D39" s="1305">
        <f t="shared" si="3"/>
        <v>26860038</v>
      </c>
      <c r="E39" s="1306">
        <f t="shared" si="3"/>
        <v>19941087.807556808</v>
      </c>
      <c r="F39" s="1307">
        <f t="shared" si="3"/>
        <v>30628296.807556808</v>
      </c>
      <c r="G39" s="1308">
        <f t="shared" si="3"/>
        <v>30628296.807556808</v>
      </c>
      <c r="H39" s="1309">
        <f t="shared" si="3"/>
        <v>36389857.416743457</v>
      </c>
      <c r="I39" s="1307">
        <f t="shared" si="3"/>
        <v>28848992.482901186</v>
      </c>
      <c r="J39" s="1310">
        <f t="shared" si="3"/>
        <v>26622459.415091291</v>
      </c>
      <c r="K39" s="1311">
        <f t="shared" si="3"/>
        <v>0</v>
      </c>
      <c r="L39" s="1312">
        <f t="shared" si="3"/>
        <v>0</v>
      </c>
      <c r="M39" s="1312">
        <f t="shared" si="3"/>
        <v>0</v>
      </c>
      <c r="N39" s="1312">
        <f t="shared" si="3"/>
        <v>0</v>
      </c>
      <c r="O39" s="1312">
        <f t="shared" si="3"/>
        <v>0</v>
      </c>
      <c r="P39" s="1312">
        <f t="shared" si="3"/>
        <v>0</v>
      </c>
      <c r="Q39" s="1312">
        <f t="shared" si="3"/>
        <v>0</v>
      </c>
      <c r="R39" s="1312">
        <f t="shared" si="3"/>
        <v>0</v>
      </c>
      <c r="S39" s="1312">
        <f t="shared" si="3"/>
        <v>0</v>
      </c>
      <c r="T39" s="1312">
        <f t="shared" si="3"/>
        <v>0</v>
      </c>
      <c r="U39" s="1312">
        <f t="shared" si="3"/>
        <v>0</v>
      </c>
      <c r="V39" s="1312">
        <f t="shared" si="3"/>
        <v>0</v>
      </c>
      <c r="W39" s="1126"/>
    </row>
    <row r="40" spans="1:23" ht="11.25" customHeight="1" thickTop="1">
      <c r="A40" s="1164"/>
    </row>
    <row r="41" spans="1:23" ht="11.25" customHeight="1">
      <c r="A41" s="1164"/>
    </row>
    <row r="42" spans="1:23">
      <c r="B42" s="1234"/>
      <c r="C42" s="1234"/>
      <c r="D42" s="1234"/>
      <c r="E42" s="1234"/>
      <c r="F42" s="1234"/>
      <c r="G42" s="1234"/>
      <c r="H42" s="1234"/>
      <c r="I42" s="1234"/>
      <c r="J42" s="1234"/>
    </row>
  </sheetData>
  <mergeCells count="3">
    <mergeCell ref="E2:G2"/>
    <mergeCell ref="H2:J2"/>
    <mergeCell ref="K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9"/>
  <sheetViews>
    <sheetView workbookViewId="0">
      <selection activeCell="B12" sqref="B12"/>
    </sheetView>
  </sheetViews>
  <sheetFormatPr defaultRowHeight="12.75"/>
  <cols>
    <col min="1" max="1" width="30.7109375" style="1104" customWidth="1"/>
    <col min="2" max="7" width="9.28515625" style="1104" customWidth="1"/>
    <col min="8" max="8" width="9.140625" style="1104" customWidth="1"/>
    <col min="9" max="11" width="9.28515625" style="1104" customWidth="1"/>
    <col min="12" max="12" width="9.85546875" style="1104" hidden="1" customWidth="1"/>
    <col min="13" max="13" width="9.5703125" style="1104" hidden="1" customWidth="1"/>
    <col min="14" max="14" width="9.85546875" style="1104" hidden="1" customWidth="1"/>
    <col min="15" max="17" width="9.5703125" style="1104" hidden="1" customWidth="1"/>
    <col min="18" max="18" width="9.85546875" style="1104" hidden="1" customWidth="1"/>
    <col min="19" max="21" width="9.5703125" style="1104" hidden="1" customWidth="1"/>
    <col min="22" max="23" width="9.85546875" style="1104" hidden="1" customWidth="1"/>
    <col min="24" max="16384" width="9.140625" style="1104"/>
  </cols>
  <sheetData>
    <row r="1" spans="1:24" s="1236" customFormat="1">
      <c r="A1" s="1188" t="str">
        <f>muni&amp;" - "&amp;Approve4</f>
        <v>EC106 Sundays River Valley - Table A4 Budgeted Financial Performance (revenue and expenditure)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</row>
    <row r="2" spans="1:24" ht="28.5" customHeight="1">
      <c r="A2" s="1190" t="str">
        <f>desc</f>
        <v>Description</v>
      </c>
      <c r="B2" s="1106" t="str">
        <f>head1b</f>
        <v>2008/9</v>
      </c>
      <c r="C2" s="1106" t="str">
        <f>head1A</f>
        <v>2009/10</v>
      </c>
      <c r="D2" s="1108" t="str">
        <f>Head1</f>
        <v>2010/11</v>
      </c>
      <c r="E2" s="1404" t="str">
        <f>Head2</f>
        <v>Current Year 2011/12</v>
      </c>
      <c r="F2" s="1405"/>
      <c r="G2" s="1405"/>
      <c r="H2" s="1405"/>
      <c r="I2" s="1401" t="str">
        <f>Head3</f>
        <v>2012/13 Medium Term Revenue &amp; Expenditure Framework</v>
      </c>
      <c r="J2" s="1402"/>
      <c r="K2" s="1403"/>
      <c r="L2" s="1417" t="str">
        <f>Head4</f>
        <v>LTFS</v>
      </c>
      <c r="M2" s="1417"/>
      <c r="N2" s="1417"/>
      <c r="O2" s="1417"/>
      <c r="P2" s="1417"/>
      <c r="Q2" s="1417"/>
      <c r="R2" s="1417"/>
      <c r="S2" s="1417"/>
      <c r="T2" s="1417"/>
      <c r="U2" s="1417"/>
      <c r="V2" s="1417"/>
      <c r="W2" s="1418"/>
    </row>
    <row r="3" spans="1:24" ht="25.5">
      <c r="A3" s="1192" t="s">
        <v>68</v>
      </c>
      <c r="B3" s="1111" t="str">
        <f>Head5</f>
        <v>Audited Outcome</v>
      </c>
      <c r="C3" s="1111" t="str">
        <f>Head5</f>
        <v>Audited Outcome</v>
      </c>
      <c r="D3" s="1112" t="str">
        <f>Head5</f>
        <v>Audited Outcome</v>
      </c>
      <c r="E3" s="1110" t="str">
        <f>Head6</f>
        <v>Original Budget</v>
      </c>
      <c r="F3" s="1111" t="str">
        <f>Head7</f>
        <v>Adjusted Budget</v>
      </c>
      <c r="G3" s="1112" t="str">
        <f>Head8</f>
        <v>Full Year Forecast</v>
      </c>
      <c r="H3" s="1113" t="str">
        <f>Head5b</f>
        <v>Pre-audit outcome</v>
      </c>
      <c r="I3" s="1110" t="str">
        <f>Head9</f>
        <v>Budget Year 2012/13</v>
      </c>
      <c r="J3" s="1111" t="str">
        <f>Head10</f>
        <v>Budget Year +1 2013/14</v>
      </c>
      <c r="K3" s="1112" t="str">
        <f>Head11</f>
        <v>Budget Year +2 2014/15</v>
      </c>
      <c r="L3" s="1244" t="str">
        <f>Head12</f>
        <v>Forecast 2015/16</v>
      </c>
      <c r="M3" s="1245" t="str">
        <f>Head13</f>
        <v>Forecast 2016/17</v>
      </c>
      <c r="N3" s="1245" t="str">
        <f>Head14</f>
        <v>Forecast 2017/18</v>
      </c>
      <c r="O3" s="1245" t="str">
        <f>Head15</f>
        <v>Forecast 2018/19</v>
      </c>
      <c r="P3" s="1245" t="str">
        <f>Head16</f>
        <v>Forecast 2019/20</v>
      </c>
      <c r="Q3" s="1245" t="str">
        <f>Head17</f>
        <v>Forecast 2020/21</v>
      </c>
      <c r="R3" s="1245" t="str">
        <f>Head18</f>
        <v>Forecast 2021/22</v>
      </c>
      <c r="S3" s="1245" t="str">
        <f>Head19</f>
        <v>Forecast 2022/23</v>
      </c>
      <c r="T3" s="1245" t="str">
        <f>Head20</f>
        <v>Forecast 2023/24</v>
      </c>
      <c r="U3" s="1245" t="str">
        <f>Head21</f>
        <v>Forecast 2024/25</v>
      </c>
      <c r="V3" s="1245" t="str">
        <f>Head22</f>
        <v>Forecast 2025/26</v>
      </c>
      <c r="W3" s="1245" t="str">
        <f>Head23</f>
        <v>Forecast 2026/27</v>
      </c>
    </row>
    <row r="4" spans="1:24" ht="12.75" customHeight="1">
      <c r="A4" s="1193" t="s">
        <v>123</v>
      </c>
      <c r="B4" s="1195"/>
      <c r="C4" s="1195"/>
      <c r="D4" s="1315"/>
      <c r="E4" s="1197"/>
      <c r="F4" s="1195"/>
      <c r="G4" s="1196"/>
      <c r="H4" s="1198"/>
      <c r="I4" s="1199"/>
      <c r="J4" s="1195"/>
      <c r="K4" s="1196"/>
      <c r="L4" s="1253"/>
      <c r="M4" s="1254"/>
      <c r="N4" s="1254"/>
      <c r="O4" s="1254"/>
      <c r="P4" s="1254"/>
      <c r="Q4" s="1254"/>
      <c r="R4" s="1254"/>
      <c r="S4" s="1254"/>
      <c r="T4" s="1254"/>
      <c r="U4" s="1254"/>
      <c r="V4" s="1254"/>
      <c r="W4" s="1254"/>
      <c r="X4" s="1126"/>
    </row>
    <row r="5" spans="1:24" ht="12.75" customHeight="1">
      <c r="A5" s="1316" t="s">
        <v>16</v>
      </c>
      <c r="B5" s="1206">
        <f>[2]SA1!C9</f>
        <v>6760512.5</v>
      </c>
      <c r="C5" s="1206">
        <f>[2]SA1!D9</f>
        <v>8801214.7899999991</v>
      </c>
      <c r="D5" s="1317">
        <f>[2]SA1!E9</f>
        <v>12413157</v>
      </c>
      <c r="E5" s="1210">
        <f>[2]SA1!F9</f>
        <v>14699717.059999999</v>
      </c>
      <c r="F5" s="1206">
        <f>[2]SA1!G9</f>
        <v>14699717.059999999</v>
      </c>
      <c r="G5" s="1318">
        <f>[2]SA1!H9</f>
        <v>14699717.059999999</v>
      </c>
      <c r="H5" s="1209">
        <f>[2]SA1!I9</f>
        <v>14699717.059999999</v>
      </c>
      <c r="I5" s="1210">
        <f>[2]SA1!J9</f>
        <v>16022691.595400002</v>
      </c>
      <c r="J5" s="1206">
        <f>[2]SA1!K9</f>
        <v>17304506.923032001</v>
      </c>
      <c r="K5" s="1318">
        <f>[2]SA1!L9</f>
        <v>18688867.47687456</v>
      </c>
      <c r="L5" s="1286"/>
      <c r="M5" s="1287"/>
      <c r="N5" s="1287"/>
      <c r="O5" s="1287"/>
      <c r="P5" s="1287"/>
      <c r="Q5" s="1287"/>
      <c r="R5" s="1287"/>
      <c r="S5" s="1287"/>
      <c r="T5" s="1287"/>
      <c r="U5" s="1287"/>
      <c r="V5" s="1287"/>
      <c r="W5" s="1287"/>
      <c r="X5" s="1126"/>
    </row>
    <row r="6" spans="1:24" ht="12.75" customHeight="1">
      <c r="A6" s="1316" t="s">
        <v>124</v>
      </c>
      <c r="B6" s="1319">
        <v>14985.86</v>
      </c>
      <c r="C6" s="1319"/>
      <c r="D6" s="1320"/>
      <c r="E6" s="1321">
        <v>19243.946799999998</v>
      </c>
      <c r="F6" s="1319">
        <v>19243.946799999998</v>
      </c>
      <c r="G6" s="1322">
        <v>19243.946799999998</v>
      </c>
      <c r="H6" s="1323">
        <v>19243.946799999998</v>
      </c>
      <c r="I6" s="1321">
        <v>23092.736159999997</v>
      </c>
      <c r="J6" s="1321">
        <v>25632.937137599998</v>
      </c>
      <c r="K6" s="1321">
        <v>28452.560222736</v>
      </c>
      <c r="L6" s="1286"/>
      <c r="M6" s="1287"/>
      <c r="N6" s="1287"/>
      <c r="O6" s="1287"/>
      <c r="P6" s="1287"/>
      <c r="Q6" s="1287"/>
      <c r="R6" s="1287"/>
      <c r="S6" s="1287"/>
      <c r="T6" s="1287"/>
      <c r="U6" s="1287"/>
      <c r="V6" s="1287"/>
      <c r="W6" s="1287"/>
      <c r="X6" s="1126"/>
    </row>
    <row r="7" spans="1:24" ht="12.75" customHeight="1">
      <c r="A7" s="1324" t="s">
        <v>125</v>
      </c>
      <c r="B7" s="1206">
        <f>[2]SA1!C14</f>
        <v>6126789</v>
      </c>
      <c r="C7" s="1206">
        <f>[2]SA1!D14</f>
        <v>9744336.9100000001</v>
      </c>
      <c r="D7" s="1317">
        <f>[2]SA1!E14</f>
        <v>12752202</v>
      </c>
      <c r="E7" s="1210">
        <f>[2]SA1!F14</f>
        <v>11918118.5609928</v>
      </c>
      <c r="F7" s="1206">
        <f>[2]SA1!G14</f>
        <v>14659284.5609928</v>
      </c>
      <c r="G7" s="1318">
        <f>[2]SA1!H14</f>
        <v>14659284.5609928</v>
      </c>
      <c r="H7" s="1209">
        <f>[2]SA1!I14</f>
        <v>14659284.5609928</v>
      </c>
      <c r="I7" s="1210">
        <f>[2]SA1!J14</f>
        <v>16276204.135500001</v>
      </c>
      <c r="J7" s="1206">
        <f>[2]SA1!K14</f>
        <v>18066586.590405002</v>
      </c>
      <c r="K7" s="1318">
        <f>[2]SA1!L14</f>
        <v>19928164.756250888</v>
      </c>
      <c r="L7" s="1286"/>
      <c r="M7" s="1287"/>
      <c r="N7" s="1287"/>
      <c r="O7" s="1287"/>
      <c r="P7" s="1287"/>
      <c r="Q7" s="1287"/>
      <c r="R7" s="1287"/>
      <c r="S7" s="1287"/>
      <c r="T7" s="1287"/>
      <c r="U7" s="1287"/>
      <c r="V7" s="1287"/>
      <c r="W7" s="1287"/>
      <c r="X7" s="1126"/>
    </row>
    <row r="8" spans="1:24" ht="12.75" customHeight="1">
      <c r="A8" s="1324" t="s">
        <v>126</v>
      </c>
      <c r="B8" s="1206">
        <f>[2]SA1!C19</f>
        <v>6242511</v>
      </c>
      <c r="C8" s="1206">
        <f>[2]SA1!D19</f>
        <v>6990394.7999999998</v>
      </c>
      <c r="D8" s="1317">
        <f>[2]SA1!E19</f>
        <v>14039527</v>
      </c>
      <c r="E8" s="1210">
        <f>[2]SA1!F19</f>
        <v>9936985.0800000001</v>
      </c>
      <c r="F8" s="1206">
        <f>[2]SA1!G19</f>
        <v>10731944.08</v>
      </c>
      <c r="G8" s="1318">
        <f>[2]SA1!H19</f>
        <v>10731944.08</v>
      </c>
      <c r="H8" s="1209">
        <f>[2]SA1!I19</f>
        <v>10731944.08</v>
      </c>
      <c r="I8" s="1210">
        <f>[2]SA1!J19</f>
        <v>10831313.737199999</v>
      </c>
      <c r="J8" s="1206">
        <f>[2]SA1!K19</f>
        <v>11697818.836176002</v>
      </c>
      <c r="K8" s="1318">
        <f>[2]SA1!L19</f>
        <v>12633644.343070082</v>
      </c>
      <c r="L8" s="1286"/>
      <c r="M8" s="1287"/>
      <c r="N8" s="1287"/>
      <c r="O8" s="1287"/>
      <c r="P8" s="1287"/>
      <c r="Q8" s="1287"/>
      <c r="R8" s="1287"/>
      <c r="S8" s="1287"/>
      <c r="T8" s="1287"/>
      <c r="U8" s="1287"/>
      <c r="V8" s="1287"/>
      <c r="W8" s="1287"/>
      <c r="X8" s="1126"/>
    </row>
    <row r="9" spans="1:24" ht="12.75" customHeight="1">
      <c r="A9" s="1324" t="s">
        <v>127</v>
      </c>
      <c r="B9" s="1206">
        <f>[2]SA1!C24</f>
        <v>1490599</v>
      </c>
      <c r="C9" s="1206">
        <f>[2]SA1!D24</f>
        <v>1484226.0899999999</v>
      </c>
      <c r="D9" s="1317">
        <f>[2]SA1!E24</f>
        <v>1653292.69</v>
      </c>
      <c r="E9" s="1210">
        <f>[2]SA1!F24</f>
        <v>2677300</v>
      </c>
      <c r="F9" s="1206">
        <f>[2]SA1!G24</f>
        <v>2810985</v>
      </c>
      <c r="G9" s="1318">
        <f>[2]SA1!H24</f>
        <v>2810985</v>
      </c>
      <c r="H9" s="1209">
        <f>[2]SA1!I24</f>
        <v>2810985</v>
      </c>
      <c r="I9" s="1210">
        <f>[2]SA1!J24</f>
        <v>2918257</v>
      </c>
      <c r="J9" s="1206">
        <f>[2]SA1!K24</f>
        <v>3151717.56</v>
      </c>
      <c r="K9" s="1318">
        <f>[2]SA1!L24</f>
        <v>3403854.9648000002</v>
      </c>
      <c r="L9" s="1286"/>
      <c r="M9" s="1287"/>
      <c r="N9" s="1287"/>
      <c r="O9" s="1287"/>
      <c r="P9" s="1287"/>
      <c r="Q9" s="1287"/>
      <c r="R9" s="1287"/>
      <c r="S9" s="1287"/>
      <c r="T9" s="1287"/>
      <c r="U9" s="1287"/>
      <c r="V9" s="1287"/>
      <c r="W9" s="1287"/>
      <c r="X9" s="1126"/>
    </row>
    <row r="10" spans="1:24" ht="12.75" customHeight="1">
      <c r="A10" s="1324" t="s">
        <v>128</v>
      </c>
      <c r="B10" s="1121">
        <f>[2]SA1!C30</f>
        <v>3033219</v>
      </c>
      <c r="C10" s="1121">
        <f>[2]SA1!D30</f>
        <v>3254288.9699999997</v>
      </c>
      <c r="D10" s="1325">
        <f>[2]SA1!E30</f>
        <v>3529736.76</v>
      </c>
      <c r="E10" s="1326">
        <f>[2]SA1!F30</f>
        <v>5062334.9800000004</v>
      </c>
      <c r="F10" s="1327">
        <f>[2]SA1!G30</f>
        <v>5062334.9800000004</v>
      </c>
      <c r="G10" s="1328">
        <f>[2]SA1!H30</f>
        <v>5062334.9800000004</v>
      </c>
      <c r="H10" s="1329">
        <f>[2]SA1!I30</f>
        <v>5062334.9800000004</v>
      </c>
      <c r="I10" s="1330">
        <f>[2]SA1!J30</f>
        <v>5517945.1282000011</v>
      </c>
      <c r="J10" s="1327">
        <f>[2]SA1!K30</f>
        <v>5959380.7384560015</v>
      </c>
      <c r="K10" s="1325">
        <f>[2]SA1!L30</f>
        <v>6436131.1975324824</v>
      </c>
      <c r="L10" s="1286"/>
      <c r="M10" s="1287"/>
      <c r="N10" s="1287"/>
      <c r="O10" s="1287"/>
      <c r="P10" s="1287"/>
      <c r="Q10" s="1287"/>
      <c r="R10" s="1287"/>
      <c r="S10" s="1287"/>
      <c r="T10" s="1287"/>
      <c r="U10" s="1287"/>
      <c r="V10" s="1287"/>
      <c r="W10" s="1287"/>
      <c r="X10" s="1126"/>
    </row>
    <row r="11" spans="1:24" ht="12.75" customHeight="1">
      <c r="A11" s="1324" t="s">
        <v>129</v>
      </c>
      <c r="B11" s="1319"/>
      <c r="C11" s="1319"/>
      <c r="D11" s="1331"/>
      <c r="E11" s="1332">
        <v>169290.48000000045</v>
      </c>
      <c r="F11" s="1319">
        <v>169290.48000000045</v>
      </c>
      <c r="G11" s="1331">
        <v>169290.48000000045</v>
      </c>
      <c r="H11" s="1323">
        <v>169290.48000000045</v>
      </c>
      <c r="I11" s="1321">
        <v>88170.884800000116</v>
      </c>
      <c r="J11" s="1321">
        <v>95224.555583998561</v>
      </c>
      <c r="K11" s="1321">
        <v>102842.52003072202</v>
      </c>
      <c r="L11" s="1286"/>
      <c r="M11" s="1287"/>
      <c r="N11" s="1287"/>
      <c r="O11" s="1287"/>
      <c r="P11" s="1287"/>
      <c r="Q11" s="1287"/>
      <c r="R11" s="1287"/>
      <c r="S11" s="1287"/>
      <c r="T11" s="1287"/>
      <c r="U11" s="1287"/>
      <c r="V11" s="1287"/>
      <c r="W11" s="1287"/>
      <c r="X11" s="1126"/>
    </row>
    <row r="12" spans="1:24" ht="12.75" customHeight="1">
      <c r="A12" s="1324" t="s">
        <v>130</v>
      </c>
      <c r="B12" s="1319">
        <v>61242.68</v>
      </c>
      <c r="C12" s="1319">
        <v>61613.299999999996</v>
      </c>
      <c r="D12" s="1331">
        <v>66415</v>
      </c>
      <c r="E12" s="1332">
        <v>62730.899710560006</v>
      </c>
      <c r="F12" s="1319">
        <v>62730.899710560006</v>
      </c>
      <c r="G12" s="1331">
        <v>62730.899710560006</v>
      </c>
      <c r="H12" s="1323">
        <v>62730.899710560006</v>
      </c>
      <c r="I12" s="1321">
        <v>68530.405684510421</v>
      </c>
      <c r="J12" s="1321">
        <v>74351.033139271254</v>
      </c>
      <c r="K12" s="1321">
        <v>80671.130290412955</v>
      </c>
      <c r="L12" s="1286"/>
      <c r="M12" s="1287"/>
      <c r="N12" s="1287"/>
      <c r="O12" s="1287"/>
      <c r="P12" s="1287"/>
      <c r="Q12" s="1287"/>
      <c r="R12" s="1287"/>
      <c r="S12" s="1287"/>
      <c r="T12" s="1287"/>
      <c r="U12" s="1287"/>
      <c r="V12" s="1287"/>
      <c r="W12" s="1287"/>
    </row>
    <row r="13" spans="1:24" ht="12.75" customHeight="1">
      <c r="A13" s="1316" t="s">
        <v>131</v>
      </c>
      <c r="B13" s="1319">
        <v>1671460.2000000002</v>
      </c>
      <c r="C13" s="1319">
        <v>233430.50000000047</v>
      </c>
      <c r="D13" s="1331">
        <v>286863</v>
      </c>
      <c r="E13" s="1332">
        <v>199892.193</v>
      </c>
      <c r="F13" s="1319">
        <v>199892.193</v>
      </c>
      <c r="G13" s="1331">
        <v>199892.193</v>
      </c>
      <c r="H13" s="1323">
        <v>199892.193</v>
      </c>
      <c r="I13" s="1321">
        <v>211885.72458000001</v>
      </c>
      <c r="J13" s="1321">
        <v>223115.66798273998</v>
      </c>
      <c r="K13" s="1321">
        <v>234048.33571389422</v>
      </c>
      <c r="L13" s="1286"/>
      <c r="M13" s="1287"/>
      <c r="N13" s="1287"/>
      <c r="O13" s="1287"/>
      <c r="P13" s="1287"/>
      <c r="Q13" s="1287"/>
      <c r="R13" s="1287"/>
      <c r="S13" s="1287"/>
      <c r="T13" s="1287"/>
      <c r="U13" s="1287"/>
      <c r="V13" s="1287"/>
      <c r="W13" s="1287"/>
    </row>
    <row r="14" spans="1:24" ht="12.75" customHeight="1">
      <c r="A14" s="1316" t="s">
        <v>132</v>
      </c>
      <c r="B14" s="1319">
        <v>3543009.33</v>
      </c>
      <c r="C14" s="1319">
        <v>3357601.85</v>
      </c>
      <c r="D14" s="1331">
        <v>5144596</v>
      </c>
      <c r="E14" s="1332">
        <v>1859991.3639918559</v>
      </c>
      <c r="F14" s="1319">
        <v>1859991.3639918559</v>
      </c>
      <c r="G14" s="1331">
        <v>1859991.3639918559</v>
      </c>
      <c r="H14" s="1323">
        <v>1859991.3639918559</v>
      </c>
      <c r="I14" s="1321">
        <v>2032446.8319666579</v>
      </c>
      <c r="J14" s="1321">
        <v>2203339.0549714901</v>
      </c>
      <c r="K14" s="1321">
        <v>2388815.2682259344</v>
      </c>
      <c r="L14" s="1286"/>
      <c r="M14" s="1287"/>
      <c r="N14" s="1287"/>
      <c r="O14" s="1287"/>
      <c r="P14" s="1287"/>
      <c r="Q14" s="1287"/>
      <c r="R14" s="1287"/>
      <c r="S14" s="1287"/>
      <c r="T14" s="1287"/>
      <c r="U14" s="1287"/>
      <c r="V14" s="1287"/>
      <c r="W14" s="1287"/>
    </row>
    <row r="15" spans="1:24" ht="12.75" customHeight="1">
      <c r="A15" s="1316" t="s">
        <v>133</v>
      </c>
      <c r="B15" s="258">
        <v>0</v>
      </c>
      <c r="C15" s="258"/>
      <c r="D15" s="259"/>
      <c r="E15" s="260"/>
      <c r="F15" s="258">
        <v>0</v>
      </c>
      <c r="G15" s="259">
        <v>0</v>
      </c>
      <c r="H15" s="1323">
        <v>0</v>
      </c>
      <c r="I15" s="1321">
        <v>0</v>
      </c>
      <c r="J15" s="1321">
        <v>0</v>
      </c>
      <c r="K15" s="1321">
        <v>0</v>
      </c>
      <c r="L15" s="1286"/>
      <c r="M15" s="1287"/>
      <c r="N15" s="1287"/>
      <c r="O15" s="1287"/>
      <c r="P15" s="1287"/>
      <c r="Q15" s="1287"/>
      <c r="R15" s="1287"/>
      <c r="S15" s="1287"/>
      <c r="T15" s="1287"/>
      <c r="U15" s="1287"/>
      <c r="V15" s="1287"/>
      <c r="W15" s="1287"/>
    </row>
    <row r="16" spans="1:24" ht="12.75" customHeight="1">
      <c r="A16" s="1316" t="s">
        <v>134</v>
      </c>
      <c r="B16" s="1319">
        <v>1279521.3899999999</v>
      </c>
      <c r="C16" s="1319">
        <v>3231103.7</v>
      </c>
      <c r="D16" s="1331">
        <v>1454328</v>
      </c>
      <c r="E16" s="1332">
        <v>1011580</v>
      </c>
      <c r="F16" s="1319">
        <v>1011580</v>
      </c>
      <c r="G16" s="1331">
        <v>1011580</v>
      </c>
      <c r="H16" s="1323">
        <v>1011580</v>
      </c>
      <c r="I16" s="1321">
        <v>1072798.2</v>
      </c>
      <c r="J16" s="1321">
        <v>1130059.6560000002</v>
      </c>
      <c r="K16" s="1321">
        <v>1185926.7844800001</v>
      </c>
      <c r="L16" s="1286"/>
      <c r="M16" s="1287"/>
      <c r="N16" s="1287"/>
      <c r="O16" s="1287"/>
      <c r="P16" s="1287"/>
      <c r="Q16" s="1287"/>
      <c r="R16" s="1287"/>
      <c r="S16" s="1287"/>
      <c r="T16" s="1287"/>
      <c r="U16" s="1287"/>
      <c r="V16" s="1287"/>
      <c r="W16" s="1287"/>
    </row>
    <row r="17" spans="1:23">
      <c r="A17" s="1316" t="s">
        <v>135</v>
      </c>
      <c r="B17" s="1319">
        <v>4627842.8699999992</v>
      </c>
      <c r="C17" s="1319">
        <v>1745995.8699999999</v>
      </c>
      <c r="D17" s="1331">
        <v>2650420</v>
      </c>
      <c r="E17" s="1332">
        <v>2614247.6780000003</v>
      </c>
      <c r="F17" s="1319">
        <v>4614247.6780000003</v>
      </c>
      <c r="G17" s="1331">
        <v>4614247.6780000003</v>
      </c>
      <c r="H17" s="1323">
        <v>4614247.6780000003</v>
      </c>
      <c r="I17" s="1321">
        <v>2651102.5386800002</v>
      </c>
      <c r="J17" s="1321">
        <v>2791610.9732300397</v>
      </c>
      <c r="K17" s="1321">
        <v>2928399.9109183117</v>
      </c>
      <c r="L17" s="1286"/>
      <c r="M17" s="1287"/>
      <c r="N17" s="1287"/>
      <c r="O17" s="1287"/>
      <c r="P17" s="1287"/>
      <c r="Q17" s="1287"/>
      <c r="R17" s="1287"/>
      <c r="S17" s="1287"/>
      <c r="T17" s="1287"/>
      <c r="U17" s="1287"/>
      <c r="V17" s="1287"/>
      <c r="W17" s="1287"/>
    </row>
    <row r="18" spans="1:23">
      <c r="A18" s="1324" t="s">
        <v>136</v>
      </c>
      <c r="B18" s="258">
        <v>0</v>
      </c>
      <c r="C18" s="258"/>
      <c r="D18" s="259">
        <v>0</v>
      </c>
      <c r="E18" s="260">
        <v>1106679</v>
      </c>
      <c r="F18" s="258">
        <v>1106679</v>
      </c>
      <c r="G18" s="259">
        <v>1106679</v>
      </c>
      <c r="H18" s="1323">
        <v>1106679</v>
      </c>
      <c r="I18" s="1321">
        <v>1173079.74</v>
      </c>
      <c r="J18" s="1321">
        <v>1235252.9662199998</v>
      </c>
      <c r="K18" s="1321">
        <v>1295780.3615647797</v>
      </c>
      <c r="L18" s="1286"/>
      <c r="M18" s="1287"/>
      <c r="N18" s="1287"/>
      <c r="O18" s="1287"/>
      <c r="P18" s="1287"/>
      <c r="Q18" s="1287"/>
      <c r="R18" s="1287"/>
      <c r="S18" s="1287"/>
      <c r="T18" s="1287"/>
      <c r="U18" s="1287"/>
      <c r="V18" s="1287"/>
      <c r="W18" s="1287"/>
    </row>
    <row r="19" spans="1:23">
      <c r="A19" s="1316" t="s">
        <v>19</v>
      </c>
      <c r="B19" s="1319">
        <v>139317363.84999999</v>
      </c>
      <c r="C19" s="1319">
        <v>29459991.289999999</v>
      </c>
      <c r="D19" s="1331">
        <v>36501860</v>
      </c>
      <c r="E19" s="1332">
        <v>36283151</v>
      </c>
      <c r="F19" s="1319">
        <v>36658151</v>
      </c>
      <c r="G19" s="1331">
        <v>36658151</v>
      </c>
      <c r="H19" s="1323">
        <v>36658151</v>
      </c>
      <c r="I19" s="1321">
        <v>43009880.060000002</v>
      </c>
      <c r="J19" s="1321">
        <v>45170080.88318</v>
      </c>
      <c r="K19" s="1321">
        <v>48801452.686455823</v>
      </c>
      <c r="L19" s="1288"/>
      <c r="M19" s="1287"/>
      <c r="N19" s="1287"/>
      <c r="O19" s="1287"/>
      <c r="P19" s="1287"/>
      <c r="Q19" s="1287"/>
      <c r="R19" s="1287"/>
      <c r="S19" s="1287"/>
      <c r="T19" s="1287"/>
      <c r="U19" s="1287"/>
      <c r="V19" s="1287"/>
      <c r="W19" s="1287"/>
    </row>
    <row r="20" spans="1:23">
      <c r="A20" s="1316" t="s">
        <v>137</v>
      </c>
      <c r="B20" s="1121">
        <f>[2]SA1!C45</f>
        <v>2850822</v>
      </c>
      <c r="C20" s="1121">
        <f>[2]SA1!D45</f>
        <v>2225060.7900000005</v>
      </c>
      <c r="D20" s="1325">
        <f>[2]SA1!E45</f>
        <v>2602788</v>
      </c>
      <c r="E20" s="1326">
        <f>[2]SA1!F45</f>
        <v>4881572.9601669386</v>
      </c>
      <c r="F20" s="1327">
        <f>[2]SA1!G45</f>
        <v>4881572.9601669386</v>
      </c>
      <c r="G20" s="1325">
        <f>[2]SA1!H45</f>
        <v>4881572.9601669386</v>
      </c>
      <c r="H20" s="1329">
        <f>[2]SA1!I45</f>
        <v>4881572.9601669386</v>
      </c>
      <c r="I20" s="1330">
        <f>[2]SA1!J45</f>
        <v>5318324.0489911018</v>
      </c>
      <c r="J20" s="1327">
        <f>[2]SA1!K45</f>
        <v>5776700.5454238355</v>
      </c>
      <c r="K20" s="1325">
        <f>[2]SA1!L45</f>
        <v>6269893.4471364776</v>
      </c>
      <c r="L20" s="1288"/>
      <c r="M20" s="1287"/>
      <c r="N20" s="1287"/>
      <c r="O20" s="1287"/>
      <c r="P20" s="1287"/>
      <c r="Q20" s="1287"/>
      <c r="R20" s="1287"/>
      <c r="S20" s="1287"/>
      <c r="T20" s="1287"/>
      <c r="U20" s="1287"/>
      <c r="V20" s="1287"/>
      <c r="W20" s="1287"/>
    </row>
    <row r="21" spans="1:23">
      <c r="A21" s="1316" t="s">
        <v>138</v>
      </c>
      <c r="B21" s="258"/>
      <c r="C21" s="1319"/>
      <c r="D21" s="1331"/>
      <c r="E21" s="1332"/>
      <c r="F21" s="1319"/>
      <c r="G21" s="1331"/>
      <c r="H21" s="1323"/>
      <c r="I21" s="1321"/>
      <c r="J21" s="1321"/>
      <c r="K21" s="1321"/>
      <c r="L21" s="1288"/>
      <c r="M21" s="1287"/>
      <c r="N21" s="1287"/>
      <c r="O21" s="1287"/>
      <c r="P21" s="1287"/>
      <c r="Q21" s="1287"/>
      <c r="R21" s="1287"/>
      <c r="S21" s="1287"/>
      <c r="T21" s="1287"/>
      <c r="U21" s="1287"/>
      <c r="V21" s="1287"/>
      <c r="W21" s="1287"/>
    </row>
    <row r="22" spans="1:23" ht="25.5">
      <c r="A22" s="1333" t="s">
        <v>21</v>
      </c>
      <c r="B22" s="1334">
        <f t="shared" ref="B22:W22" si="0">SUM(B5:B21)</f>
        <v>177019878.68000001</v>
      </c>
      <c r="C22" s="1334">
        <f t="shared" si="0"/>
        <v>70589258.859999999</v>
      </c>
      <c r="D22" s="1335">
        <f t="shared" si="0"/>
        <v>93095185.449999988</v>
      </c>
      <c r="E22" s="1336">
        <f t="shared" si="0"/>
        <v>92502835.20266214</v>
      </c>
      <c r="F22" s="1334">
        <f t="shared" si="0"/>
        <v>98547645.20266214</v>
      </c>
      <c r="G22" s="1335">
        <f t="shared" si="0"/>
        <v>98547645.20266214</v>
      </c>
      <c r="H22" s="1336">
        <f t="shared" si="0"/>
        <v>98547645.20266214</v>
      </c>
      <c r="I22" s="1337">
        <f t="shared" si="0"/>
        <v>107215722.76716228</v>
      </c>
      <c r="J22" s="1334">
        <f t="shared" si="0"/>
        <v>114905378.92093799</v>
      </c>
      <c r="K22" s="1335">
        <f t="shared" si="0"/>
        <v>124406945.74356712</v>
      </c>
      <c r="L22" s="1277">
        <f t="shared" si="0"/>
        <v>0</v>
      </c>
      <c r="M22" s="1278">
        <f t="shared" si="0"/>
        <v>0</v>
      </c>
      <c r="N22" s="1278">
        <f t="shared" si="0"/>
        <v>0</v>
      </c>
      <c r="O22" s="1278">
        <f t="shared" si="0"/>
        <v>0</v>
      </c>
      <c r="P22" s="1278">
        <f t="shared" si="0"/>
        <v>0</v>
      </c>
      <c r="Q22" s="1278">
        <f t="shared" si="0"/>
        <v>0</v>
      </c>
      <c r="R22" s="1278">
        <f t="shared" si="0"/>
        <v>0</v>
      </c>
      <c r="S22" s="1278">
        <f t="shared" si="0"/>
        <v>0</v>
      </c>
      <c r="T22" s="1278">
        <f t="shared" si="0"/>
        <v>0</v>
      </c>
      <c r="U22" s="1278">
        <f t="shared" si="0"/>
        <v>0</v>
      </c>
      <c r="V22" s="1278">
        <f t="shared" si="0"/>
        <v>0</v>
      </c>
      <c r="W22" s="1278">
        <f t="shared" si="0"/>
        <v>0</v>
      </c>
    </row>
    <row r="23" spans="1:23">
      <c r="A23" s="1338"/>
      <c r="B23" s="1327"/>
      <c r="C23" s="1327"/>
      <c r="D23" s="1325"/>
      <c r="E23" s="1326"/>
      <c r="F23" s="1327"/>
      <c r="G23" s="1325"/>
      <c r="H23" s="1329"/>
      <c r="I23" s="1330"/>
      <c r="J23" s="1327"/>
      <c r="K23" s="1325"/>
      <c r="L23" s="1286"/>
      <c r="M23" s="1287"/>
      <c r="N23" s="1287"/>
      <c r="O23" s="1287"/>
      <c r="P23" s="1287"/>
      <c r="Q23" s="1287"/>
      <c r="R23" s="1287"/>
      <c r="S23" s="1287"/>
      <c r="T23" s="1287"/>
      <c r="U23" s="1287"/>
      <c r="V23" s="1287"/>
      <c r="W23" s="1287"/>
    </row>
    <row r="24" spans="1:23">
      <c r="A24" s="1193" t="s">
        <v>139</v>
      </c>
      <c r="B24" s="1327"/>
      <c r="C24" s="1327"/>
      <c r="D24" s="1325"/>
      <c r="E24" s="1326"/>
      <c r="F24" s="1327"/>
      <c r="G24" s="1325"/>
      <c r="H24" s="1329"/>
      <c r="I24" s="1330"/>
      <c r="J24" s="1327"/>
      <c r="K24" s="1325"/>
      <c r="L24" s="1286"/>
      <c r="M24" s="1287"/>
      <c r="N24" s="1287"/>
      <c r="O24" s="1287"/>
      <c r="P24" s="1287"/>
      <c r="Q24" s="1287"/>
      <c r="R24" s="1287"/>
      <c r="S24" s="1287"/>
      <c r="T24" s="1287"/>
      <c r="U24" s="1287"/>
      <c r="V24" s="1287"/>
      <c r="W24" s="1287"/>
    </row>
    <row r="25" spans="1:23">
      <c r="A25" s="1324" t="s">
        <v>140</v>
      </c>
      <c r="B25" s="1327">
        <f>[2]SA1!C63</f>
        <v>22196499</v>
      </c>
      <c r="C25" s="1121">
        <f>[2]SA1!D63</f>
        <v>24139119.300000004</v>
      </c>
      <c r="D25" s="1325">
        <f>[2]SA1!E63</f>
        <v>24576487</v>
      </c>
      <c r="E25" s="1326">
        <f>[2]SA1!F63</f>
        <v>29303979.553619634</v>
      </c>
      <c r="F25" s="1327">
        <f>[2]SA1!G63</f>
        <v>27975468.553619634</v>
      </c>
      <c r="G25" s="1325">
        <f>[2]SA1!H63</f>
        <v>27975468.553619634</v>
      </c>
      <c r="H25" s="1329">
        <f>[2]SA1!I63</f>
        <v>27975468.553619634</v>
      </c>
      <c r="I25" s="1330">
        <f>[2]SA1!J63</f>
        <v>32429013.761117168</v>
      </c>
      <c r="J25" s="1327">
        <f>[2]SA1!K63</f>
        <v>34422534.1136932</v>
      </c>
      <c r="K25" s="1325">
        <f>[2]SA1!L63</f>
        <v>36477845.413966574</v>
      </c>
      <c r="L25" s="1286"/>
      <c r="M25" s="1287"/>
      <c r="N25" s="1287"/>
      <c r="O25" s="1287"/>
      <c r="P25" s="1287"/>
      <c r="Q25" s="1287"/>
      <c r="R25" s="1287"/>
      <c r="S25" s="1287"/>
      <c r="T25" s="1287"/>
      <c r="U25" s="1287"/>
      <c r="V25" s="1287"/>
      <c r="W25" s="1287"/>
    </row>
    <row r="26" spans="1:23">
      <c r="A26" s="1324" t="s">
        <v>23</v>
      </c>
      <c r="B26" s="1319">
        <v>2617120</v>
      </c>
      <c r="C26" s="1319">
        <v>2745082.67</v>
      </c>
      <c r="D26" s="1331">
        <v>2896259</v>
      </c>
      <c r="E26" s="1332">
        <v>3826025.0087999995</v>
      </c>
      <c r="F26" s="1319">
        <v>3826025.0087999995</v>
      </c>
      <c r="G26" s="1331">
        <v>3826025.0087999995</v>
      </c>
      <c r="H26" s="1323">
        <v>3826025.0087999995</v>
      </c>
      <c r="I26" s="1321">
        <v>4529524.2069000006</v>
      </c>
      <c r="J26" s="1321">
        <v>4801295.659314001</v>
      </c>
      <c r="K26" s="1321">
        <v>5089373.3988728411</v>
      </c>
      <c r="L26" s="1286"/>
      <c r="M26" s="1287"/>
      <c r="N26" s="1287"/>
      <c r="O26" s="1287"/>
      <c r="P26" s="1287"/>
      <c r="Q26" s="1287"/>
      <c r="R26" s="1287"/>
      <c r="S26" s="1287"/>
      <c r="T26" s="1287"/>
      <c r="U26" s="1287"/>
      <c r="V26" s="1287"/>
      <c r="W26" s="1287"/>
    </row>
    <row r="27" spans="1:23">
      <c r="A27" s="1324" t="s">
        <v>141</v>
      </c>
      <c r="B27" s="1319">
        <v>17489741</v>
      </c>
      <c r="C27" s="1319">
        <v>17496500.260000002</v>
      </c>
      <c r="D27" s="1331">
        <v>12693131</v>
      </c>
      <c r="E27" s="1332">
        <v>12000000</v>
      </c>
      <c r="F27" s="1319">
        <v>14000000</v>
      </c>
      <c r="G27" s="1331">
        <v>14000000</v>
      </c>
      <c r="H27" s="1323">
        <v>14000000</v>
      </c>
      <c r="I27" s="1321">
        <v>15000000</v>
      </c>
      <c r="J27" s="1321">
        <v>15000000</v>
      </c>
      <c r="K27" s="1321">
        <v>15000000</v>
      </c>
      <c r="L27" s="1286"/>
      <c r="M27" s="1287"/>
      <c r="N27" s="1287"/>
      <c r="O27" s="1287"/>
      <c r="P27" s="1287"/>
      <c r="Q27" s="1287"/>
      <c r="R27" s="1287"/>
      <c r="S27" s="1287"/>
      <c r="T27" s="1287"/>
      <c r="U27" s="1287"/>
      <c r="V27" s="1287"/>
      <c r="W27" s="1287"/>
    </row>
    <row r="28" spans="1:23">
      <c r="A28" s="1324" t="s">
        <v>24</v>
      </c>
      <c r="B28" s="1327">
        <f>[2]SA1!C79</f>
        <v>0</v>
      </c>
      <c r="C28" s="1121">
        <f>[2]SA1!D79</f>
        <v>16809954.109999999</v>
      </c>
      <c r="D28" s="1325">
        <f>[2]SA1!E79</f>
        <v>17098687</v>
      </c>
      <c r="E28" s="1326">
        <f>[2]SA1!F79</f>
        <v>4700000</v>
      </c>
      <c r="F28" s="1327">
        <f>[2]SA1!G79</f>
        <v>15000000</v>
      </c>
      <c r="G28" s="1325">
        <f>[2]SA1!H79</f>
        <v>15000000</v>
      </c>
      <c r="H28" s="1329">
        <f>[2]SA1!I79</f>
        <v>15000000</v>
      </c>
      <c r="I28" s="1330">
        <f>[2]SA1!J79</f>
        <v>7500000</v>
      </c>
      <c r="J28" s="1327">
        <f>[2]SA1!K79</f>
        <v>7500000</v>
      </c>
      <c r="K28" s="1325">
        <f>[2]SA1!L79</f>
        <v>7500000</v>
      </c>
      <c r="L28" s="1288"/>
      <c r="M28" s="1289"/>
      <c r="N28" s="1289"/>
      <c r="O28" s="1289"/>
      <c r="P28" s="1289"/>
      <c r="Q28" s="1289"/>
      <c r="R28" s="1289"/>
      <c r="S28" s="1289"/>
      <c r="T28" s="1289"/>
      <c r="U28" s="1289"/>
      <c r="V28" s="1289"/>
      <c r="W28" s="1289"/>
    </row>
    <row r="29" spans="1:23">
      <c r="A29" s="1324" t="s">
        <v>25</v>
      </c>
      <c r="B29" s="1319">
        <v>766669</v>
      </c>
      <c r="C29" s="1319">
        <v>1252156.5200000003</v>
      </c>
      <c r="D29" s="1331">
        <v>1330194</v>
      </c>
      <c r="E29" s="1332">
        <v>682520</v>
      </c>
      <c r="F29" s="1319">
        <v>682520</v>
      </c>
      <c r="G29" s="1331">
        <v>682520</v>
      </c>
      <c r="H29" s="1323">
        <v>682520</v>
      </c>
      <c r="I29" s="1321">
        <v>723470.86249175994</v>
      </c>
      <c r="J29" s="1321">
        <v>761814.81820382318</v>
      </c>
      <c r="K29" s="1321">
        <v>799143.74429581058</v>
      </c>
      <c r="L29" s="1286"/>
      <c r="M29" s="1287"/>
      <c r="N29" s="1287"/>
      <c r="O29" s="1287"/>
      <c r="P29" s="1287"/>
      <c r="Q29" s="1287"/>
      <c r="R29" s="1287"/>
      <c r="S29" s="1287"/>
      <c r="T29" s="1287"/>
      <c r="U29" s="1287"/>
      <c r="V29" s="1287"/>
      <c r="W29" s="1287"/>
    </row>
    <row r="30" spans="1:23">
      <c r="A30" s="1324" t="s">
        <v>142</v>
      </c>
      <c r="B30" s="1327">
        <f>[2]SA1!C84</f>
        <v>5088708</v>
      </c>
      <c r="C30" s="1121">
        <f>[2]SA1!D84</f>
        <v>7622220.7599999998</v>
      </c>
      <c r="D30" s="1325">
        <f>[2]SA1!E84</f>
        <v>9180763</v>
      </c>
      <c r="E30" s="1326">
        <f>[2]SA1!F84</f>
        <v>10981134</v>
      </c>
      <c r="F30" s="1327">
        <f>[2]SA1!G84</f>
        <v>10781134</v>
      </c>
      <c r="G30" s="1325">
        <f>[2]SA1!H84</f>
        <v>10781134</v>
      </c>
      <c r="H30" s="1329">
        <f>[2]SA1!I84</f>
        <v>10781134</v>
      </c>
      <c r="I30" s="1330">
        <f>[2]SA1!J84</f>
        <v>12424325.249977527</v>
      </c>
      <c r="J30" s="1327">
        <f>[2]SA1!K84</f>
        <v>13996759.462474605</v>
      </c>
      <c r="K30" s="1325">
        <f>[2]SA1!L84</f>
        <v>15769008.253966302</v>
      </c>
      <c r="L30" s="1286"/>
      <c r="M30" s="1287"/>
      <c r="N30" s="1287"/>
      <c r="O30" s="1287"/>
      <c r="P30" s="1287"/>
      <c r="Q30" s="1287"/>
      <c r="R30" s="1287"/>
      <c r="S30" s="1287"/>
      <c r="T30" s="1287"/>
      <c r="U30" s="1287"/>
      <c r="V30" s="1287"/>
      <c r="W30" s="1287"/>
    </row>
    <row r="31" spans="1:23">
      <c r="A31" s="1324" t="s">
        <v>143</v>
      </c>
      <c r="B31" s="258"/>
      <c r="C31" s="258"/>
      <c r="D31" s="259"/>
      <c r="E31" s="260"/>
      <c r="F31" s="258"/>
      <c r="G31" s="259"/>
      <c r="H31" s="1323">
        <f>+G31</f>
        <v>0</v>
      </c>
      <c r="I31" s="262"/>
      <c r="J31" s="258"/>
      <c r="K31" s="259"/>
      <c r="L31" s="1286"/>
      <c r="M31" s="1287"/>
      <c r="N31" s="1287"/>
      <c r="O31" s="1287"/>
      <c r="P31" s="1287"/>
      <c r="Q31" s="1287"/>
      <c r="R31" s="1287"/>
      <c r="S31" s="1287"/>
      <c r="T31" s="1287"/>
      <c r="U31" s="1287"/>
      <c r="V31" s="1287"/>
      <c r="W31" s="1287"/>
    </row>
    <row r="32" spans="1:23">
      <c r="A32" s="1324" t="s">
        <v>144</v>
      </c>
      <c r="B32" s="1327">
        <f>[2]SA1!C123</f>
        <v>239849.03</v>
      </c>
      <c r="C32" s="1121">
        <f>[2]SA1!D123</f>
        <v>263223</v>
      </c>
      <c r="D32" s="1325">
        <f>[2]SA1!E123</f>
        <v>276840</v>
      </c>
      <c r="E32" s="1326">
        <f>[2]SA1!F123</f>
        <v>351673</v>
      </c>
      <c r="F32" s="1327">
        <f>[2]SA1!G123</f>
        <v>377913</v>
      </c>
      <c r="G32" s="1325">
        <f>[2]SA1!H123</f>
        <v>377913</v>
      </c>
      <c r="H32" s="1329">
        <f>[2]SA1!I123</f>
        <v>377913</v>
      </c>
      <c r="I32" s="1330">
        <f>[2]SA1!J123</f>
        <v>1993553.28</v>
      </c>
      <c r="J32" s="1327">
        <f>[2]SA1!K123</f>
        <v>2080753.5158400002</v>
      </c>
      <c r="K32" s="1325">
        <f>[2]SA1!L123</f>
        <v>2234978.6166441604</v>
      </c>
      <c r="L32" s="1286"/>
      <c r="M32" s="1287"/>
      <c r="N32" s="1287"/>
      <c r="O32" s="1287"/>
      <c r="P32" s="1287"/>
      <c r="Q32" s="1287"/>
      <c r="R32" s="1287"/>
      <c r="S32" s="1287"/>
      <c r="T32" s="1287"/>
      <c r="U32" s="1287"/>
      <c r="V32" s="1287"/>
      <c r="W32" s="1287"/>
    </row>
    <row r="33" spans="1:23">
      <c r="A33" s="1324" t="s">
        <v>27</v>
      </c>
      <c r="B33" s="1206">
        <f>[2]SA1!C89</f>
        <v>1788054</v>
      </c>
      <c r="C33" s="1206">
        <f>[2]SA1!D89</f>
        <v>1162174</v>
      </c>
      <c r="D33" s="1207">
        <f>[2]SA1!E89</f>
        <v>2857495</v>
      </c>
      <c r="E33" s="1208">
        <f>[2]SA1!F89</f>
        <v>2626800</v>
      </c>
      <c r="F33" s="1206">
        <f>[2]SA1!G89</f>
        <v>2892800</v>
      </c>
      <c r="G33" s="1207">
        <f>[2]SA1!H89</f>
        <v>2892800</v>
      </c>
      <c r="H33" s="1209">
        <f>[2]SA1!I89</f>
        <v>2892800</v>
      </c>
      <c r="I33" s="1210">
        <f>[2]SA1!J89</f>
        <v>3633628</v>
      </c>
      <c r="J33" s="1206">
        <f>[2]SA1!K89</f>
        <v>3826210.284</v>
      </c>
      <c r="K33" s="1207">
        <f>[2]SA1!L89</f>
        <v>4013694.5879159998</v>
      </c>
      <c r="L33" s="1286"/>
      <c r="M33" s="1287"/>
      <c r="N33" s="1287"/>
      <c r="O33" s="1287"/>
      <c r="P33" s="1287"/>
      <c r="Q33" s="1287"/>
      <c r="R33" s="1287"/>
      <c r="S33" s="1287"/>
      <c r="T33" s="1287"/>
      <c r="U33" s="1287"/>
      <c r="V33" s="1287"/>
      <c r="W33" s="1287"/>
    </row>
    <row r="34" spans="1:23">
      <c r="A34" s="1324" t="s">
        <v>28</v>
      </c>
      <c r="B34" s="1327">
        <f>[2]SA1!C153</f>
        <v>139016520.97</v>
      </c>
      <c r="C34" s="1121">
        <f>[2]SA1!D153</f>
        <v>19518970.59</v>
      </c>
      <c r="D34" s="1325">
        <f>[2]SA1!E153</f>
        <v>18293837.199999999</v>
      </c>
      <c r="E34" s="1326">
        <f>[2]SA1!F153</f>
        <v>26618615.408001125</v>
      </c>
      <c r="F34" s="1327">
        <f>[2]SA1!G153</f>
        <v>26912487.408001125</v>
      </c>
      <c r="G34" s="1325">
        <f>[2]SA1!H153</f>
        <v>26912487.408001125</v>
      </c>
      <c r="H34" s="1329">
        <f>[2]SA1!I153</f>
        <v>26912487.408001125</v>
      </c>
      <c r="I34" s="1330">
        <f>[2]SA1!J153</f>
        <v>32068420.989932321</v>
      </c>
      <c r="J34" s="1327">
        <f>[2]SA1!K153</f>
        <v>33842211.024511218</v>
      </c>
      <c r="K34" s="1325">
        <f>[2]SA1!L153</f>
        <v>35980512.460014112</v>
      </c>
      <c r="L34" s="1286"/>
      <c r="M34" s="1287"/>
      <c r="N34" s="1287"/>
      <c r="O34" s="1287"/>
      <c r="P34" s="1287"/>
      <c r="Q34" s="1287"/>
      <c r="R34" s="1287"/>
      <c r="S34" s="1287"/>
      <c r="T34" s="1287"/>
      <c r="U34" s="1287"/>
      <c r="V34" s="1287"/>
      <c r="W34" s="1287"/>
    </row>
    <row r="35" spans="1:23">
      <c r="A35" s="1316" t="s">
        <v>145</v>
      </c>
      <c r="B35" s="258"/>
      <c r="C35" s="258"/>
      <c r="D35" s="1331"/>
      <c r="E35" s="260"/>
      <c r="F35" s="258"/>
      <c r="G35" s="1331"/>
      <c r="H35" s="1323">
        <f>+G35</f>
        <v>0</v>
      </c>
      <c r="I35" s="262"/>
      <c r="J35" s="258"/>
      <c r="K35" s="259"/>
      <c r="L35" s="1286"/>
      <c r="M35" s="1287"/>
      <c r="N35" s="1287"/>
      <c r="O35" s="1287"/>
      <c r="P35" s="1287"/>
      <c r="Q35" s="1287"/>
      <c r="R35" s="1287"/>
      <c r="S35" s="1287"/>
      <c r="T35" s="1287"/>
      <c r="U35" s="1287"/>
      <c r="V35" s="1287"/>
      <c r="W35" s="1287"/>
    </row>
    <row r="36" spans="1:23">
      <c r="A36" s="1339" t="s">
        <v>29</v>
      </c>
      <c r="B36" s="1334">
        <f t="shared" ref="B36:W36" si="1">SUM(B25:B35)</f>
        <v>189203161</v>
      </c>
      <c r="C36" s="1334">
        <f>SUM(C25:C35)</f>
        <v>91009401.210000008</v>
      </c>
      <c r="D36" s="1335">
        <f t="shared" si="1"/>
        <v>89203693.200000003</v>
      </c>
      <c r="E36" s="1336">
        <f t="shared" si="1"/>
        <v>91090746.970420763</v>
      </c>
      <c r="F36" s="1334">
        <f t="shared" si="1"/>
        <v>102448347.97042076</v>
      </c>
      <c r="G36" s="1335">
        <f t="shared" si="1"/>
        <v>102448347.97042076</v>
      </c>
      <c r="H36" s="1336">
        <f t="shared" si="1"/>
        <v>102448347.97042076</v>
      </c>
      <c r="I36" s="1337">
        <f t="shared" si="1"/>
        <v>110301936.35041878</v>
      </c>
      <c r="J36" s="1334">
        <f t="shared" si="1"/>
        <v>116231578.87803683</v>
      </c>
      <c r="K36" s="1335">
        <f t="shared" si="1"/>
        <v>122864556.47567579</v>
      </c>
      <c r="L36" s="1277">
        <f t="shared" si="1"/>
        <v>0</v>
      </c>
      <c r="M36" s="1278">
        <f t="shared" si="1"/>
        <v>0</v>
      </c>
      <c r="N36" s="1278">
        <f t="shared" si="1"/>
        <v>0</v>
      </c>
      <c r="O36" s="1278">
        <f t="shared" si="1"/>
        <v>0</v>
      </c>
      <c r="P36" s="1278">
        <f t="shared" si="1"/>
        <v>0</v>
      </c>
      <c r="Q36" s="1278">
        <f t="shared" si="1"/>
        <v>0</v>
      </c>
      <c r="R36" s="1278">
        <f t="shared" si="1"/>
        <v>0</v>
      </c>
      <c r="S36" s="1278">
        <f t="shared" si="1"/>
        <v>0</v>
      </c>
      <c r="T36" s="1278">
        <f t="shared" si="1"/>
        <v>0</v>
      </c>
      <c r="U36" s="1278">
        <f t="shared" si="1"/>
        <v>0</v>
      </c>
      <c r="V36" s="1278">
        <f t="shared" si="1"/>
        <v>0</v>
      </c>
      <c r="W36" s="1278">
        <f t="shared" si="1"/>
        <v>0</v>
      </c>
    </row>
    <row r="37" spans="1:23">
      <c r="A37" s="1338"/>
      <c r="B37" s="1340"/>
      <c r="C37" s="1340"/>
      <c r="D37" s="1341"/>
      <c r="E37" s="1342"/>
      <c r="F37" s="1340"/>
      <c r="G37" s="1341"/>
      <c r="H37" s="1342"/>
      <c r="I37" s="1343"/>
      <c r="J37" s="1340"/>
      <c r="K37" s="1341"/>
      <c r="L37" s="1344"/>
      <c r="M37" s="1345"/>
      <c r="N37" s="1345"/>
      <c r="O37" s="1345"/>
      <c r="P37" s="1345"/>
      <c r="Q37" s="1345"/>
      <c r="R37" s="1345"/>
      <c r="S37" s="1345"/>
      <c r="T37" s="1345"/>
      <c r="U37" s="1345"/>
      <c r="V37" s="1345"/>
      <c r="W37" s="1345"/>
    </row>
    <row r="38" spans="1:23">
      <c r="A38" s="1346" t="s">
        <v>30</v>
      </c>
      <c r="B38" s="1347">
        <f t="shared" ref="B38:K38" si="2">B22-B36</f>
        <v>-12183282.319999993</v>
      </c>
      <c r="C38" s="1347">
        <f t="shared" si="2"/>
        <v>-20420142.350000009</v>
      </c>
      <c r="D38" s="1348">
        <f t="shared" si="2"/>
        <v>3891492.2499999851</v>
      </c>
      <c r="E38" s="1349">
        <f t="shared" si="2"/>
        <v>1412088.2322413772</v>
      </c>
      <c r="F38" s="1347">
        <f t="shared" si="2"/>
        <v>-3900702.7677586228</v>
      </c>
      <c r="G38" s="1348">
        <f t="shared" si="2"/>
        <v>-3900702.7677586228</v>
      </c>
      <c r="H38" s="1349">
        <f t="shared" si="2"/>
        <v>-3900702.7677586228</v>
      </c>
      <c r="I38" s="1350">
        <f t="shared" si="2"/>
        <v>-3086213.583256498</v>
      </c>
      <c r="J38" s="1347">
        <f t="shared" si="2"/>
        <v>-1326199.9570988417</v>
      </c>
      <c r="K38" s="1348">
        <f t="shared" si="2"/>
        <v>1542389.2678913325</v>
      </c>
      <c r="L38" s="1344">
        <f t="shared" ref="L38:W38" si="3">L22+L36</f>
        <v>0</v>
      </c>
      <c r="M38" s="1345">
        <f t="shared" si="3"/>
        <v>0</v>
      </c>
      <c r="N38" s="1345">
        <f t="shared" si="3"/>
        <v>0</v>
      </c>
      <c r="O38" s="1345">
        <f t="shared" si="3"/>
        <v>0</v>
      </c>
      <c r="P38" s="1345">
        <f t="shared" si="3"/>
        <v>0</v>
      </c>
      <c r="Q38" s="1345">
        <f t="shared" si="3"/>
        <v>0</v>
      </c>
      <c r="R38" s="1345">
        <f t="shared" si="3"/>
        <v>0</v>
      </c>
      <c r="S38" s="1345">
        <f t="shared" si="3"/>
        <v>0</v>
      </c>
      <c r="T38" s="1345">
        <f t="shared" si="3"/>
        <v>0</v>
      </c>
      <c r="U38" s="1345">
        <f t="shared" si="3"/>
        <v>0</v>
      </c>
      <c r="V38" s="1345">
        <f t="shared" si="3"/>
        <v>0</v>
      </c>
      <c r="W38" s="1345">
        <f t="shared" si="3"/>
        <v>0</v>
      </c>
    </row>
    <row r="39" spans="1:23">
      <c r="A39" s="1316" t="s">
        <v>31</v>
      </c>
      <c r="B39" s="1319">
        <v>16603181.149999999</v>
      </c>
      <c r="C39" s="1319">
        <v>20888842.68</v>
      </c>
      <c r="D39" s="1331">
        <v>22968547</v>
      </c>
      <c r="E39" s="1332">
        <v>18529000</v>
      </c>
      <c r="F39" s="1319">
        <v>34529000</v>
      </c>
      <c r="G39" s="1319">
        <v>34529000</v>
      </c>
      <c r="H39" s="1323">
        <v>34529000</v>
      </c>
      <c r="I39" s="1321">
        <v>39476050</v>
      </c>
      <c r="J39" s="1321">
        <v>30175150</v>
      </c>
      <c r="K39" s="1321">
        <v>25080000</v>
      </c>
      <c r="L39" s="1286"/>
      <c r="M39" s="1287"/>
      <c r="N39" s="1287"/>
      <c r="O39" s="1287"/>
      <c r="P39" s="1287"/>
      <c r="Q39" s="1287"/>
      <c r="R39" s="1287"/>
      <c r="S39" s="1287"/>
      <c r="T39" s="1287"/>
      <c r="U39" s="1287"/>
      <c r="V39" s="1287"/>
      <c r="W39" s="1287"/>
    </row>
    <row r="40" spans="1:23">
      <c r="A40" s="1316" t="s">
        <v>146</v>
      </c>
      <c r="B40" s="1327">
        <f>[2]SA1!C72</f>
        <v>0</v>
      </c>
      <c r="C40" s="1121">
        <f>[2]SA1!D72</f>
        <v>0</v>
      </c>
      <c r="D40" s="1325">
        <f>[2]SA1!E72</f>
        <v>0</v>
      </c>
      <c r="E40" s="1326">
        <f>[2]SA1!F72</f>
        <v>0</v>
      </c>
      <c r="F40" s="1327">
        <f>[2]SA1!G72</f>
        <v>0</v>
      </c>
      <c r="G40" s="1325">
        <f>[2]SA1!H72</f>
        <v>0</v>
      </c>
      <c r="H40" s="1329">
        <f>[2]SA1!I72</f>
        <v>0</v>
      </c>
      <c r="I40" s="1330">
        <f>[2]SA1!J72</f>
        <v>0</v>
      </c>
      <c r="J40" s="1327">
        <f>[2]SA1!K72</f>
        <v>0</v>
      </c>
      <c r="K40" s="1325">
        <f>[2]SA1!L72</f>
        <v>0</v>
      </c>
      <c r="L40" s="1286"/>
      <c r="M40" s="1287"/>
      <c r="N40" s="1287"/>
      <c r="O40" s="1287"/>
      <c r="P40" s="1287"/>
      <c r="Q40" s="1287"/>
      <c r="R40" s="1287"/>
      <c r="S40" s="1287"/>
      <c r="T40" s="1287"/>
      <c r="U40" s="1287"/>
      <c r="V40" s="1287"/>
      <c r="W40" s="1287"/>
    </row>
    <row r="41" spans="1:23">
      <c r="A41" s="1316" t="s">
        <v>147</v>
      </c>
      <c r="B41" s="258"/>
      <c r="C41" s="1319"/>
      <c r="D41" s="1331"/>
      <c r="E41" s="1"/>
      <c r="F41" s="2"/>
      <c r="G41" s="3"/>
      <c r="H41" s="1323"/>
      <c r="I41" s="4"/>
      <c r="J41" s="2"/>
      <c r="K41" s="3"/>
      <c r="L41" s="1286"/>
      <c r="M41" s="1287"/>
      <c r="N41" s="1287"/>
      <c r="O41" s="1287"/>
      <c r="P41" s="1287"/>
      <c r="Q41" s="1287"/>
      <c r="R41" s="1287"/>
      <c r="S41" s="1287"/>
      <c r="T41" s="1287"/>
      <c r="U41" s="1287"/>
      <c r="V41" s="1287"/>
      <c r="W41" s="1287"/>
    </row>
    <row r="42" spans="1:23" ht="25.5">
      <c r="A42" s="1127" t="s">
        <v>33</v>
      </c>
      <c r="B42" s="1351">
        <f t="shared" ref="B42:K42" si="4">SUM(B38:B41)</f>
        <v>4419898.8300000057</v>
      </c>
      <c r="C42" s="1351">
        <f t="shared" si="4"/>
        <v>468700.32999999076</v>
      </c>
      <c r="D42" s="1352">
        <f t="shared" si="4"/>
        <v>26860039.249999985</v>
      </c>
      <c r="E42" s="1353">
        <f t="shared" si="4"/>
        <v>19941088.232241377</v>
      </c>
      <c r="F42" s="1351">
        <f t="shared" si="4"/>
        <v>30628297.232241377</v>
      </c>
      <c r="G42" s="1352">
        <f t="shared" si="4"/>
        <v>30628297.232241377</v>
      </c>
      <c r="H42" s="1353">
        <f t="shared" si="4"/>
        <v>30628297.232241377</v>
      </c>
      <c r="I42" s="1354">
        <f t="shared" si="4"/>
        <v>36389836.416743502</v>
      </c>
      <c r="J42" s="1351">
        <f t="shared" si="4"/>
        <v>28848950.042901158</v>
      </c>
      <c r="K42" s="1352">
        <f t="shared" si="4"/>
        <v>26622389.267891333</v>
      </c>
      <c r="L42" s="1286"/>
      <c r="M42" s="1287"/>
      <c r="N42" s="1287"/>
      <c r="O42" s="1287"/>
      <c r="P42" s="1287"/>
      <c r="Q42" s="1287"/>
      <c r="R42" s="1287"/>
      <c r="S42" s="1287"/>
      <c r="T42" s="1287"/>
      <c r="U42" s="1287"/>
      <c r="V42" s="1287"/>
      <c r="W42" s="1287"/>
    </row>
    <row r="43" spans="1:23">
      <c r="A43" s="1316" t="s">
        <v>148</v>
      </c>
      <c r="B43" s="258"/>
      <c r="C43" s="258"/>
      <c r="D43" s="259"/>
      <c r="E43" s="260"/>
      <c r="F43" s="258"/>
      <c r="G43" s="259"/>
      <c r="H43" s="1323">
        <f>+G43</f>
        <v>0</v>
      </c>
      <c r="I43" s="262"/>
      <c r="J43" s="258"/>
      <c r="K43" s="259"/>
      <c r="L43" s="1286"/>
      <c r="M43" s="1287"/>
      <c r="N43" s="1287"/>
      <c r="O43" s="1287"/>
      <c r="P43" s="1287"/>
      <c r="Q43" s="1287"/>
      <c r="R43" s="1287"/>
      <c r="S43" s="1287"/>
      <c r="T43" s="1287"/>
      <c r="U43" s="1287"/>
      <c r="V43" s="1287"/>
      <c r="W43" s="1287"/>
    </row>
    <row r="44" spans="1:23">
      <c r="A44" s="1355" t="s">
        <v>149</v>
      </c>
      <c r="B44" s="1340">
        <f t="shared" ref="B44:K44" si="5">B42-B43</f>
        <v>4419898.8300000057</v>
      </c>
      <c r="C44" s="1340">
        <f t="shared" si="5"/>
        <v>468700.32999999076</v>
      </c>
      <c r="D44" s="1341">
        <f t="shared" si="5"/>
        <v>26860039.249999985</v>
      </c>
      <c r="E44" s="1342">
        <f t="shared" si="5"/>
        <v>19941088.232241377</v>
      </c>
      <c r="F44" s="1340">
        <f t="shared" si="5"/>
        <v>30628297.232241377</v>
      </c>
      <c r="G44" s="1341">
        <f t="shared" si="5"/>
        <v>30628297.232241377</v>
      </c>
      <c r="H44" s="1342">
        <f t="shared" si="5"/>
        <v>30628297.232241377</v>
      </c>
      <c r="I44" s="1343">
        <f t="shared" si="5"/>
        <v>36389836.416743502</v>
      </c>
      <c r="J44" s="1340">
        <f t="shared" si="5"/>
        <v>28848950.042901158</v>
      </c>
      <c r="K44" s="1341">
        <f t="shared" si="5"/>
        <v>26622389.267891333</v>
      </c>
      <c r="L44" s="1286"/>
      <c r="M44" s="1287"/>
      <c r="N44" s="1287"/>
      <c r="O44" s="1287"/>
      <c r="P44" s="1287"/>
      <c r="Q44" s="1287"/>
      <c r="R44" s="1287"/>
      <c r="S44" s="1287"/>
      <c r="T44" s="1287"/>
      <c r="U44" s="1287"/>
      <c r="V44" s="1287"/>
      <c r="W44" s="1287"/>
    </row>
    <row r="45" spans="1:23">
      <c r="A45" s="1316" t="s">
        <v>150</v>
      </c>
      <c r="B45" s="258"/>
      <c r="C45" s="258"/>
      <c r="D45" s="259"/>
      <c r="E45" s="260"/>
      <c r="F45" s="258"/>
      <c r="G45" s="259"/>
      <c r="H45" s="1323">
        <f>+G45</f>
        <v>0</v>
      </c>
      <c r="I45" s="262"/>
      <c r="J45" s="258"/>
      <c r="K45" s="259"/>
      <c r="L45" s="1286"/>
      <c r="M45" s="1287"/>
      <c r="N45" s="1287"/>
      <c r="O45" s="1287"/>
      <c r="P45" s="1287"/>
      <c r="Q45" s="1287"/>
      <c r="R45" s="1287"/>
      <c r="S45" s="1287"/>
      <c r="T45" s="1287"/>
      <c r="U45" s="1287"/>
      <c r="V45" s="1287"/>
      <c r="W45" s="1287"/>
    </row>
    <row r="46" spans="1:23">
      <c r="A46" s="1355" t="s">
        <v>151</v>
      </c>
      <c r="B46" s="1351">
        <f t="shared" ref="B46:K46" si="6">SUM(B44:B45)</f>
        <v>4419898.8300000057</v>
      </c>
      <c r="C46" s="1351">
        <f t="shared" si="6"/>
        <v>468700.32999999076</v>
      </c>
      <c r="D46" s="1352">
        <f t="shared" si="6"/>
        <v>26860039.249999985</v>
      </c>
      <c r="E46" s="1353">
        <f t="shared" si="6"/>
        <v>19941088.232241377</v>
      </c>
      <c r="F46" s="1351">
        <f t="shared" si="6"/>
        <v>30628297.232241377</v>
      </c>
      <c r="G46" s="1352">
        <f t="shared" si="6"/>
        <v>30628297.232241377</v>
      </c>
      <c r="H46" s="1353">
        <f t="shared" si="6"/>
        <v>30628297.232241377</v>
      </c>
      <c r="I46" s="1354">
        <f t="shared" si="6"/>
        <v>36389836.416743502</v>
      </c>
      <c r="J46" s="1351">
        <f t="shared" si="6"/>
        <v>28848950.042901158</v>
      </c>
      <c r="K46" s="1352">
        <f t="shared" si="6"/>
        <v>26622389.267891333</v>
      </c>
      <c r="L46" s="1286"/>
      <c r="M46" s="1287"/>
      <c r="N46" s="1287"/>
      <c r="O46" s="1287"/>
      <c r="P46" s="1287"/>
      <c r="Q46" s="1287"/>
      <c r="R46" s="1287"/>
      <c r="S46" s="1287"/>
      <c r="T46" s="1287"/>
      <c r="U46" s="1287"/>
      <c r="V46" s="1287"/>
      <c r="W46" s="1287"/>
    </row>
    <row r="47" spans="1:23">
      <c r="A47" s="1356" t="s">
        <v>34</v>
      </c>
      <c r="B47" s="258"/>
      <c r="C47" s="258"/>
      <c r="D47" s="259"/>
      <c r="E47" s="1332"/>
      <c r="F47" s="1319"/>
      <c r="G47" s="1331"/>
      <c r="H47" s="1323">
        <f>+G47</f>
        <v>0</v>
      </c>
      <c r="I47" s="1321"/>
      <c r="J47" s="1319"/>
      <c r="K47" s="1331"/>
      <c r="L47" s="1286"/>
      <c r="M47" s="1287"/>
      <c r="N47" s="1287"/>
      <c r="O47" s="1287"/>
      <c r="P47" s="1287"/>
      <c r="Q47" s="1287"/>
      <c r="R47" s="1287"/>
      <c r="S47" s="1287"/>
      <c r="T47" s="1287"/>
      <c r="U47" s="1287"/>
      <c r="V47" s="1287"/>
      <c r="W47" s="1287"/>
    </row>
    <row r="48" spans="1:23" ht="13.5" thickBot="1">
      <c r="A48" s="1357" t="str">
        <f>result</f>
        <v>Surplus/(Deficit) for the year</v>
      </c>
      <c r="B48" s="1358">
        <f t="shared" ref="B48:K48" si="7">SUM(B46:B47)</f>
        <v>4419898.8300000057</v>
      </c>
      <c r="C48" s="1359">
        <f t="shared" si="7"/>
        <v>468700.32999999076</v>
      </c>
      <c r="D48" s="1360">
        <f t="shared" si="7"/>
        <v>26860039.249999985</v>
      </c>
      <c r="E48" s="1361">
        <f t="shared" si="7"/>
        <v>19941088.232241377</v>
      </c>
      <c r="F48" s="1359">
        <f t="shared" si="7"/>
        <v>30628297.232241377</v>
      </c>
      <c r="G48" s="1362">
        <f t="shared" si="7"/>
        <v>30628297.232241377</v>
      </c>
      <c r="H48" s="1363">
        <f t="shared" si="7"/>
        <v>30628297.232241377</v>
      </c>
      <c r="I48" s="1364">
        <f t="shared" si="7"/>
        <v>36389836.416743502</v>
      </c>
      <c r="J48" s="1359">
        <f t="shared" si="7"/>
        <v>28848950.042901158</v>
      </c>
      <c r="K48" s="1362">
        <f t="shared" si="7"/>
        <v>26622389.267891333</v>
      </c>
      <c r="L48" s="1311">
        <f t="shared" ref="L48:W48" si="8">L26+L47</f>
        <v>0</v>
      </c>
      <c r="M48" s="1312">
        <f t="shared" si="8"/>
        <v>0</v>
      </c>
      <c r="N48" s="1312">
        <f t="shared" si="8"/>
        <v>0</v>
      </c>
      <c r="O48" s="1312">
        <f t="shared" si="8"/>
        <v>0</v>
      </c>
      <c r="P48" s="1312">
        <f t="shared" si="8"/>
        <v>0</v>
      </c>
      <c r="Q48" s="1312">
        <f t="shared" si="8"/>
        <v>0</v>
      </c>
      <c r="R48" s="1312">
        <f t="shared" si="8"/>
        <v>0</v>
      </c>
      <c r="S48" s="1312">
        <f t="shared" si="8"/>
        <v>0</v>
      </c>
      <c r="T48" s="1312">
        <f t="shared" si="8"/>
        <v>0</v>
      </c>
      <c r="U48" s="1312">
        <f t="shared" si="8"/>
        <v>0</v>
      </c>
      <c r="V48" s="1312">
        <f t="shared" si="8"/>
        <v>0</v>
      </c>
      <c r="W48" s="1312">
        <f t="shared" si="8"/>
        <v>0</v>
      </c>
    </row>
    <row r="49" ht="13.5" thickTop="1"/>
  </sheetData>
  <mergeCells count="3">
    <mergeCell ref="I2:K2"/>
    <mergeCell ref="E2:H2"/>
    <mergeCell ref="L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85"/>
  <sheetViews>
    <sheetView workbookViewId="0"/>
  </sheetViews>
  <sheetFormatPr defaultRowHeight="15"/>
  <cols>
    <col min="1" max="1" width="29.7109375" customWidth="1"/>
    <col min="2" max="2" width="6" customWidth="1"/>
  </cols>
  <sheetData>
    <row r="1" spans="1:13">
      <c r="A1" s="7" t="s">
        <v>153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9"/>
    </row>
    <row r="2" spans="1:13">
      <c r="A2" s="85" t="s">
        <v>96</v>
      </c>
      <c r="B2" s="83" t="s">
        <v>67</v>
      </c>
      <c r="C2" s="8" t="s">
        <v>1</v>
      </c>
      <c r="D2" s="8" t="s">
        <v>2</v>
      </c>
      <c r="E2" s="6" t="s">
        <v>3</v>
      </c>
      <c r="F2" s="1422" t="s">
        <v>4</v>
      </c>
      <c r="G2" s="1423"/>
      <c r="H2" s="1423"/>
      <c r="I2" s="1423"/>
      <c r="J2" s="1419" t="s">
        <v>5</v>
      </c>
      <c r="K2" s="1420"/>
      <c r="L2" s="1421"/>
      <c r="M2" s="5"/>
    </row>
    <row r="3" spans="1:13" ht="25.5">
      <c r="A3" s="10" t="s">
        <v>68</v>
      </c>
      <c r="B3" s="46">
        <v>1</v>
      </c>
      <c r="C3" s="79" t="s">
        <v>7</v>
      </c>
      <c r="D3" s="79" t="s">
        <v>7</v>
      </c>
      <c r="E3" s="80" t="s">
        <v>7</v>
      </c>
      <c r="F3" s="49" t="s">
        <v>8</v>
      </c>
      <c r="G3" s="79" t="s">
        <v>9</v>
      </c>
      <c r="H3" s="80" t="s">
        <v>10</v>
      </c>
      <c r="I3" s="78" t="s">
        <v>11</v>
      </c>
      <c r="J3" s="49" t="s">
        <v>12</v>
      </c>
      <c r="K3" s="79" t="s">
        <v>13</v>
      </c>
      <c r="L3" s="80" t="s">
        <v>14</v>
      </c>
      <c r="M3" s="5"/>
    </row>
    <row r="4" spans="1:13">
      <c r="A4" s="11" t="s">
        <v>154</v>
      </c>
      <c r="B4" s="47"/>
      <c r="C4" s="51"/>
      <c r="D4" s="51"/>
      <c r="E4" s="52"/>
      <c r="F4" s="53"/>
      <c r="G4" s="51"/>
      <c r="H4" s="54"/>
      <c r="I4" s="52"/>
      <c r="J4" s="53"/>
      <c r="K4" s="51"/>
      <c r="L4" s="54"/>
      <c r="M4" s="5"/>
    </row>
    <row r="5" spans="1:13">
      <c r="A5" s="11" t="s">
        <v>155</v>
      </c>
      <c r="B5" s="48">
        <v>2</v>
      </c>
      <c r="C5" s="55"/>
      <c r="D5" s="55"/>
      <c r="E5" s="56"/>
      <c r="F5" s="57"/>
      <c r="G5" s="55"/>
      <c r="H5" s="58"/>
      <c r="I5" s="56"/>
      <c r="J5" s="57"/>
      <c r="K5" s="55"/>
      <c r="L5" s="58"/>
      <c r="M5" s="5"/>
    </row>
    <row r="6" spans="1:13">
      <c r="A6" s="12" t="s">
        <v>105</v>
      </c>
      <c r="B6" s="48"/>
      <c r="C6" s="14">
        <v>0</v>
      </c>
      <c r="D6" s="14">
        <v>0</v>
      </c>
      <c r="E6" s="15">
        <v>0</v>
      </c>
      <c r="F6" s="16">
        <v>0</v>
      </c>
      <c r="G6" s="14">
        <v>0</v>
      </c>
      <c r="H6" s="15">
        <v>0</v>
      </c>
      <c r="I6" s="84">
        <v>0</v>
      </c>
      <c r="J6" s="16">
        <v>0</v>
      </c>
      <c r="K6" s="14">
        <v>0</v>
      </c>
      <c r="L6" s="15">
        <v>0</v>
      </c>
      <c r="M6" s="59"/>
    </row>
    <row r="7" spans="1:13">
      <c r="A7" s="12" t="s">
        <v>106</v>
      </c>
      <c r="B7" s="48"/>
      <c r="C7" s="14">
        <v>0</v>
      </c>
      <c r="D7" s="14">
        <v>0</v>
      </c>
      <c r="E7" s="15">
        <v>0</v>
      </c>
      <c r="F7" s="16">
        <v>0</v>
      </c>
      <c r="G7" s="14">
        <v>0</v>
      </c>
      <c r="H7" s="15">
        <v>0</v>
      </c>
      <c r="I7" s="13">
        <v>0</v>
      </c>
      <c r="J7" s="16">
        <v>0</v>
      </c>
      <c r="K7" s="14">
        <v>0</v>
      </c>
      <c r="L7" s="15">
        <v>0</v>
      </c>
      <c r="M7" s="61"/>
    </row>
    <row r="8" spans="1:13">
      <c r="A8" s="12" t="s">
        <v>107</v>
      </c>
      <c r="B8" s="48"/>
      <c r="C8" s="14">
        <v>0</v>
      </c>
      <c r="D8" s="14">
        <v>0</v>
      </c>
      <c r="E8" s="15">
        <v>0</v>
      </c>
      <c r="F8" s="16">
        <v>0</v>
      </c>
      <c r="G8" s="14">
        <v>0</v>
      </c>
      <c r="H8" s="15">
        <v>0</v>
      </c>
      <c r="I8" s="13">
        <v>0</v>
      </c>
      <c r="J8" s="16">
        <v>0</v>
      </c>
      <c r="K8" s="14">
        <v>0</v>
      </c>
      <c r="L8" s="15">
        <v>0</v>
      </c>
      <c r="M8" s="60"/>
    </row>
    <row r="9" spans="1:13">
      <c r="A9" s="12" t="s">
        <v>108</v>
      </c>
      <c r="B9" s="48"/>
      <c r="C9" s="14">
        <v>0</v>
      </c>
      <c r="D9" s="14">
        <v>0</v>
      </c>
      <c r="E9" s="15">
        <v>0</v>
      </c>
      <c r="F9" s="62">
        <v>0</v>
      </c>
      <c r="G9" s="14">
        <v>0</v>
      </c>
      <c r="H9" s="15">
        <v>0</v>
      </c>
      <c r="I9" s="13">
        <v>0</v>
      </c>
      <c r="J9" s="16">
        <v>0</v>
      </c>
      <c r="K9" s="14">
        <v>0</v>
      </c>
      <c r="L9" s="63">
        <v>0</v>
      </c>
      <c r="M9" s="60"/>
    </row>
    <row r="10" spans="1:13">
      <c r="A10" s="12" t="s">
        <v>109</v>
      </c>
      <c r="B10" s="48"/>
      <c r="C10" s="14">
        <v>0</v>
      </c>
      <c r="D10" s="14">
        <v>0</v>
      </c>
      <c r="E10" s="15">
        <v>0</v>
      </c>
      <c r="F10" s="16">
        <v>0</v>
      </c>
      <c r="G10" s="14">
        <v>0</v>
      </c>
      <c r="H10" s="15">
        <v>0</v>
      </c>
      <c r="I10" s="13">
        <v>0</v>
      </c>
      <c r="J10" s="16">
        <v>0</v>
      </c>
      <c r="K10" s="14">
        <v>0</v>
      </c>
      <c r="L10" s="15">
        <v>0</v>
      </c>
      <c r="M10" s="60"/>
    </row>
    <row r="11" spans="1:13">
      <c r="A11" s="12" t="s">
        <v>110</v>
      </c>
      <c r="B11" s="48"/>
      <c r="C11" s="14">
        <v>0</v>
      </c>
      <c r="D11" s="14">
        <v>0</v>
      </c>
      <c r="E11" s="15">
        <v>0</v>
      </c>
      <c r="F11" s="16">
        <v>0</v>
      </c>
      <c r="G11" s="14">
        <v>0</v>
      </c>
      <c r="H11" s="15">
        <v>0</v>
      </c>
      <c r="I11" s="13">
        <v>0</v>
      </c>
      <c r="J11" s="16">
        <v>0</v>
      </c>
      <c r="K11" s="14">
        <v>0</v>
      </c>
      <c r="L11" s="15">
        <v>0</v>
      </c>
      <c r="M11" s="60"/>
    </row>
    <row r="12" spans="1:13">
      <c r="A12" s="12" t="s">
        <v>111</v>
      </c>
      <c r="B12" s="48"/>
      <c r="C12" s="14">
        <v>0</v>
      </c>
      <c r="D12" s="14">
        <v>0</v>
      </c>
      <c r="E12" s="15">
        <v>0</v>
      </c>
      <c r="F12" s="16">
        <v>0</v>
      </c>
      <c r="G12" s="14">
        <v>0</v>
      </c>
      <c r="H12" s="15">
        <v>0</v>
      </c>
      <c r="I12" s="13">
        <v>0</v>
      </c>
      <c r="J12" s="16">
        <v>0</v>
      </c>
      <c r="K12" s="14">
        <v>0</v>
      </c>
      <c r="L12" s="15">
        <v>0</v>
      </c>
      <c r="M12" s="60"/>
    </row>
    <row r="13" spans="1:13">
      <c r="A13" s="12" t="s">
        <v>112</v>
      </c>
      <c r="B13" s="48"/>
      <c r="C13" s="14">
        <v>0</v>
      </c>
      <c r="D13" s="14">
        <v>0</v>
      </c>
      <c r="E13" s="13">
        <v>0</v>
      </c>
      <c r="F13" s="16">
        <v>0</v>
      </c>
      <c r="G13" s="14">
        <v>0</v>
      </c>
      <c r="H13" s="15">
        <v>0</v>
      </c>
      <c r="I13" s="13">
        <v>0</v>
      </c>
      <c r="J13" s="16">
        <v>0</v>
      </c>
      <c r="K13" s="14">
        <v>0</v>
      </c>
      <c r="L13" s="15">
        <v>0</v>
      </c>
      <c r="M13" s="60"/>
    </row>
    <row r="14" spans="1:13">
      <c r="A14" s="12" t="s">
        <v>113</v>
      </c>
      <c r="B14" s="48"/>
      <c r="C14" s="14">
        <v>0</v>
      </c>
      <c r="D14" s="14">
        <v>0</v>
      </c>
      <c r="E14" s="13">
        <v>0</v>
      </c>
      <c r="F14" s="16">
        <v>0</v>
      </c>
      <c r="G14" s="14">
        <v>0</v>
      </c>
      <c r="H14" s="15">
        <v>0</v>
      </c>
      <c r="I14" s="13">
        <v>0</v>
      </c>
      <c r="J14" s="16">
        <v>0</v>
      </c>
      <c r="K14" s="14">
        <v>0</v>
      </c>
      <c r="L14" s="15">
        <v>0</v>
      </c>
      <c r="M14" s="111"/>
    </row>
    <row r="15" spans="1:13">
      <c r="A15" s="12" t="s">
        <v>114</v>
      </c>
      <c r="B15" s="48"/>
      <c r="C15" s="14">
        <v>0</v>
      </c>
      <c r="D15" s="14">
        <v>0</v>
      </c>
      <c r="E15" s="13">
        <v>0</v>
      </c>
      <c r="F15" s="16">
        <v>0</v>
      </c>
      <c r="G15" s="14">
        <v>0</v>
      </c>
      <c r="H15" s="15">
        <v>0</v>
      </c>
      <c r="I15" s="13">
        <v>0</v>
      </c>
      <c r="J15" s="16">
        <v>0</v>
      </c>
      <c r="K15" s="14">
        <v>0</v>
      </c>
      <c r="L15" s="15">
        <v>0</v>
      </c>
      <c r="M15" s="111"/>
    </row>
    <row r="16" spans="1:13">
      <c r="A16" s="12" t="s">
        <v>115</v>
      </c>
      <c r="B16" s="48"/>
      <c r="C16" s="14">
        <v>0</v>
      </c>
      <c r="D16" s="14">
        <v>0</v>
      </c>
      <c r="E16" s="13">
        <v>0</v>
      </c>
      <c r="F16" s="16">
        <v>0</v>
      </c>
      <c r="G16" s="14">
        <v>0</v>
      </c>
      <c r="H16" s="15">
        <v>0</v>
      </c>
      <c r="I16" s="13">
        <v>0</v>
      </c>
      <c r="J16" s="16">
        <v>0</v>
      </c>
      <c r="K16" s="14">
        <v>0</v>
      </c>
      <c r="L16" s="15">
        <v>0</v>
      </c>
      <c r="M16" s="77"/>
    </row>
    <row r="17" spans="1:13">
      <c r="A17" s="12" t="s">
        <v>116</v>
      </c>
      <c r="B17" s="48"/>
      <c r="C17" s="14">
        <v>0</v>
      </c>
      <c r="D17" s="14">
        <v>0</v>
      </c>
      <c r="E17" s="13">
        <v>0</v>
      </c>
      <c r="F17" s="16">
        <v>0</v>
      </c>
      <c r="G17" s="14">
        <v>0</v>
      </c>
      <c r="H17" s="15">
        <v>0</v>
      </c>
      <c r="I17" s="13">
        <v>0</v>
      </c>
      <c r="J17" s="16">
        <v>0</v>
      </c>
      <c r="K17" s="14">
        <v>0</v>
      </c>
      <c r="L17" s="15">
        <v>0</v>
      </c>
      <c r="M17" s="111"/>
    </row>
    <row r="18" spans="1:13">
      <c r="A18" s="12" t="s">
        <v>117</v>
      </c>
      <c r="B18" s="48"/>
      <c r="C18" s="14">
        <v>0</v>
      </c>
      <c r="D18" s="14">
        <v>0</v>
      </c>
      <c r="E18" s="13">
        <v>0</v>
      </c>
      <c r="F18" s="16">
        <v>0</v>
      </c>
      <c r="G18" s="14">
        <v>0</v>
      </c>
      <c r="H18" s="15">
        <v>0</v>
      </c>
      <c r="I18" s="13">
        <v>0</v>
      </c>
      <c r="J18" s="16">
        <v>0</v>
      </c>
      <c r="K18" s="14">
        <v>0</v>
      </c>
      <c r="L18" s="15">
        <v>0</v>
      </c>
      <c r="M18" s="111"/>
    </row>
    <row r="19" spans="1:13">
      <c r="A19" s="12" t="s">
        <v>118</v>
      </c>
      <c r="B19" s="48"/>
      <c r="C19" s="14">
        <v>0</v>
      </c>
      <c r="D19" s="14">
        <v>0</v>
      </c>
      <c r="E19" s="13">
        <v>0</v>
      </c>
      <c r="F19" s="16">
        <v>0</v>
      </c>
      <c r="G19" s="14">
        <v>0</v>
      </c>
      <c r="H19" s="15">
        <v>0</v>
      </c>
      <c r="I19" s="13">
        <v>0</v>
      </c>
      <c r="J19" s="16">
        <v>0</v>
      </c>
      <c r="K19" s="14">
        <v>0</v>
      </c>
      <c r="L19" s="15">
        <v>0</v>
      </c>
      <c r="M19" s="111"/>
    </row>
    <row r="20" spans="1:13">
      <c r="A20" s="12" t="s">
        <v>119</v>
      </c>
      <c r="B20" s="48"/>
      <c r="C20" s="14">
        <v>0</v>
      </c>
      <c r="D20" s="14">
        <v>0</v>
      </c>
      <c r="E20" s="13">
        <v>0</v>
      </c>
      <c r="F20" s="16">
        <v>0</v>
      </c>
      <c r="G20" s="14">
        <v>0</v>
      </c>
      <c r="H20" s="15">
        <v>0</v>
      </c>
      <c r="I20" s="13">
        <v>0</v>
      </c>
      <c r="J20" s="16">
        <v>0</v>
      </c>
      <c r="K20" s="14">
        <v>0</v>
      </c>
      <c r="L20" s="15">
        <v>0</v>
      </c>
      <c r="M20" s="111"/>
    </row>
    <row r="21" spans="1:13">
      <c r="A21" s="17" t="s">
        <v>156</v>
      </c>
      <c r="B21" s="48">
        <v>7</v>
      </c>
      <c r="C21" s="101">
        <v>0</v>
      </c>
      <c r="D21" s="101">
        <v>0</v>
      </c>
      <c r="E21" s="41">
        <v>0</v>
      </c>
      <c r="F21" s="44">
        <v>0</v>
      </c>
      <c r="G21" s="42">
        <v>0</v>
      </c>
      <c r="H21" s="43">
        <v>0</v>
      </c>
      <c r="I21" s="41">
        <v>0</v>
      </c>
      <c r="J21" s="44">
        <v>0</v>
      </c>
      <c r="K21" s="42">
        <v>0</v>
      </c>
      <c r="L21" s="43">
        <v>0</v>
      </c>
      <c r="M21" s="77"/>
    </row>
    <row r="22" spans="1:13">
      <c r="A22" s="18"/>
      <c r="B22" s="48"/>
      <c r="C22" s="20"/>
      <c r="D22" s="40"/>
      <c r="E22" s="19"/>
      <c r="F22" s="22"/>
      <c r="G22" s="20"/>
      <c r="H22" s="21"/>
      <c r="I22" s="19"/>
      <c r="J22" s="22"/>
      <c r="K22" s="20"/>
      <c r="L22" s="21"/>
      <c r="M22" s="77"/>
    </row>
    <row r="23" spans="1:13">
      <c r="A23" s="11" t="s">
        <v>157</v>
      </c>
      <c r="B23" s="48">
        <v>2</v>
      </c>
      <c r="C23" s="64"/>
      <c r="D23" s="64"/>
      <c r="E23" s="15"/>
      <c r="F23" s="16"/>
      <c r="G23" s="14"/>
      <c r="H23" s="15"/>
      <c r="I23" s="13"/>
      <c r="J23" s="16"/>
      <c r="K23" s="14"/>
      <c r="L23" s="15"/>
      <c r="M23" s="77"/>
    </row>
    <row r="24" spans="1:13">
      <c r="A24" s="12" t="s">
        <v>105</v>
      </c>
      <c r="B24" s="48"/>
      <c r="C24" s="64">
        <v>702412.0700000003</v>
      </c>
      <c r="D24" s="64">
        <v>6360</v>
      </c>
      <c r="E24" s="15">
        <v>0</v>
      </c>
      <c r="F24" s="16">
        <v>628000</v>
      </c>
      <c r="G24" s="14">
        <v>78000</v>
      </c>
      <c r="H24" s="15">
        <v>78000</v>
      </c>
      <c r="I24" s="13">
        <v>78000</v>
      </c>
      <c r="J24" s="16">
        <v>0</v>
      </c>
      <c r="K24" s="14">
        <v>0</v>
      </c>
      <c r="L24" s="15">
        <v>0</v>
      </c>
      <c r="M24" s="77"/>
    </row>
    <row r="25" spans="1:13">
      <c r="A25" s="12" t="s">
        <v>106</v>
      </c>
      <c r="B25" s="48"/>
      <c r="C25" s="64">
        <v>77326</v>
      </c>
      <c r="D25" s="64">
        <v>334868</v>
      </c>
      <c r="E25" s="15">
        <v>733754</v>
      </c>
      <c r="F25" s="16">
        <v>779650</v>
      </c>
      <c r="G25" s="14">
        <v>699650</v>
      </c>
      <c r="H25" s="15">
        <v>699650</v>
      </c>
      <c r="I25" s="13">
        <v>699650</v>
      </c>
      <c r="J25" s="16">
        <v>745000</v>
      </c>
      <c r="K25" s="14">
        <v>0</v>
      </c>
      <c r="L25" s="15">
        <v>0</v>
      </c>
      <c r="M25" s="77"/>
    </row>
    <row r="26" spans="1:13">
      <c r="A26" s="12" t="s">
        <v>107</v>
      </c>
      <c r="B26" s="48"/>
      <c r="C26" s="64">
        <v>67789.360000000335</v>
      </c>
      <c r="D26" s="64">
        <v>0</v>
      </c>
      <c r="E26" s="15">
        <v>0</v>
      </c>
      <c r="F26" s="16">
        <v>350000</v>
      </c>
      <c r="G26" s="14">
        <v>1150000</v>
      </c>
      <c r="H26" s="15">
        <v>1150000</v>
      </c>
      <c r="I26" s="13">
        <v>1150000</v>
      </c>
      <c r="J26" s="16">
        <v>47000</v>
      </c>
      <c r="K26" s="14">
        <v>0</v>
      </c>
      <c r="L26" s="15">
        <v>0</v>
      </c>
      <c r="M26" s="77"/>
    </row>
    <row r="27" spans="1:13">
      <c r="A27" s="12" t="s">
        <v>108</v>
      </c>
      <c r="B27" s="48"/>
      <c r="C27" s="64">
        <v>7660.0000000002328</v>
      </c>
      <c r="D27" s="64">
        <v>38646</v>
      </c>
      <c r="E27" s="15">
        <v>0</v>
      </c>
      <c r="F27" s="16">
        <v>0</v>
      </c>
      <c r="G27" s="14">
        <v>0</v>
      </c>
      <c r="H27" s="15">
        <v>0</v>
      </c>
      <c r="I27" s="13">
        <v>0</v>
      </c>
      <c r="J27" s="16">
        <v>0</v>
      </c>
      <c r="K27" s="14">
        <v>0</v>
      </c>
      <c r="L27" s="15">
        <v>0</v>
      </c>
      <c r="M27" s="77"/>
    </row>
    <row r="28" spans="1:13">
      <c r="A28" s="12" t="s">
        <v>109</v>
      </c>
      <c r="B28" s="48"/>
      <c r="C28" s="64">
        <v>80850</v>
      </c>
      <c r="D28" s="64">
        <v>170201</v>
      </c>
      <c r="E28" s="15">
        <v>0</v>
      </c>
      <c r="F28" s="16">
        <v>31300</v>
      </c>
      <c r="G28" s="14">
        <v>31300</v>
      </c>
      <c r="H28" s="15">
        <v>31300</v>
      </c>
      <c r="I28" s="13">
        <v>31300</v>
      </c>
      <c r="J28" s="16">
        <v>45720</v>
      </c>
      <c r="K28" s="14">
        <v>0</v>
      </c>
      <c r="L28" s="15">
        <v>0</v>
      </c>
      <c r="M28" s="77"/>
    </row>
    <row r="29" spans="1:13">
      <c r="A29" s="12" t="s">
        <v>110</v>
      </c>
      <c r="B29" s="48"/>
      <c r="C29" s="64">
        <v>85154.050000000279</v>
      </c>
      <c r="D29" s="64">
        <v>6686022</v>
      </c>
      <c r="E29" s="15">
        <v>0</v>
      </c>
      <c r="F29" s="16">
        <v>171100</v>
      </c>
      <c r="G29" s="14">
        <v>96100</v>
      </c>
      <c r="H29" s="15">
        <v>96100</v>
      </c>
      <c r="I29" s="13">
        <v>96100</v>
      </c>
      <c r="J29" s="16">
        <v>636289</v>
      </c>
      <c r="K29" s="14">
        <v>0</v>
      </c>
      <c r="L29" s="15">
        <v>0</v>
      </c>
      <c r="M29" s="77"/>
    </row>
    <row r="30" spans="1:13">
      <c r="A30" s="12" t="s">
        <v>111</v>
      </c>
      <c r="B30" s="48"/>
      <c r="C30" s="64">
        <v>0</v>
      </c>
      <c r="D30" s="64">
        <v>0</v>
      </c>
      <c r="E30" s="15">
        <v>223120</v>
      </c>
      <c r="F30" s="16">
        <v>1000000</v>
      </c>
      <c r="G30" s="14">
        <v>0</v>
      </c>
      <c r="H30" s="15">
        <v>0</v>
      </c>
      <c r="I30" s="13">
        <v>0</v>
      </c>
      <c r="J30" s="16">
        <v>3500000</v>
      </c>
      <c r="K30" s="14">
        <v>3500000</v>
      </c>
      <c r="L30" s="15">
        <v>3500000</v>
      </c>
      <c r="M30" s="77"/>
    </row>
    <row r="31" spans="1:13">
      <c r="A31" s="12" t="s">
        <v>112</v>
      </c>
      <c r="B31" s="48"/>
      <c r="C31" s="64">
        <v>0</v>
      </c>
      <c r="D31" s="64">
        <v>758</v>
      </c>
      <c r="E31" s="15">
        <v>93000</v>
      </c>
      <c r="F31" s="16">
        <v>8500</v>
      </c>
      <c r="G31" s="14">
        <v>8500</v>
      </c>
      <c r="H31" s="15">
        <v>8500</v>
      </c>
      <c r="I31" s="13">
        <v>8500</v>
      </c>
      <c r="J31" s="16">
        <v>9000</v>
      </c>
      <c r="K31" s="14">
        <v>0</v>
      </c>
      <c r="L31" s="15">
        <v>0</v>
      </c>
      <c r="M31" s="77"/>
    </row>
    <row r="32" spans="1:13">
      <c r="A32" s="12" t="s">
        <v>113</v>
      </c>
      <c r="B32" s="48"/>
      <c r="C32" s="64">
        <v>0</v>
      </c>
      <c r="D32" s="64">
        <v>8478</v>
      </c>
      <c r="E32" s="15">
        <v>0</v>
      </c>
      <c r="F32" s="16">
        <v>4780000</v>
      </c>
      <c r="G32" s="14">
        <v>1129679</v>
      </c>
      <c r="H32" s="15">
        <v>1129679</v>
      </c>
      <c r="I32" s="13">
        <v>1129679</v>
      </c>
      <c r="J32" s="16">
        <v>5892000</v>
      </c>
      <c r="K32" s="14">
        <v>5000000</v>
      </c>
      <c r="L32" s="15">
        <v>9474100</v>
      </c>
      <c r="M32" s="77"/>
    </row>
    <row r="33" spans="1:18">
      <c r="A33" s="12" t="s">
        <v>114</v>
      </c>
      <c r="B33" s="48"/>
      <c r="C33" s="64">
        <v>0</v>
      </c>
      <c r="D33" s="64">
        <v>0</v>
      </c>
      <c r="E33" s="15">
        <v>0</v>
      </c>
      <c r="F33" s="16">
        <v>0</v>
      </c>
      <c r="G33" s="14">
        <v>0</v>
      </c>
      <c r="H33" s="15">
        <v>0</v>
      </c>
      <c r="I33" s="13">
        <v>0</v>
      </c>
      <c r="J33" s="16">
        <v>0</v>
      </c>
      <c r="K33" s="14">
        <v>0</v>
      </c>
      <c r="L33" s="15">
        <v>0</v>
      </c>
      <c r="M33" s="77"/>
      <c r="N33" s="5"/>
      <c r="O33" s="5"/>
      <c r="P33" s="5"/>
      <c r="Q33" s="5"/>
      <c r="R33" s="5"/>
    </row>
    <row r="34" spans="1:18">
      <c r="A34" s="12" t="s">
        <v>115</v>
      </c>
      <c r="B34" s="48"/>
      <c r="C34" s="64">
        <v>0</v>
      </c>
      <c r="D34" s="64">
        <v>0</v>
      </c>
      <c r="E34" s="15">
        <v>0</v>
      </c>
      <c r="F34" s="16">
        <v>530000</v>
      </c>
      <c r="G34" s="14">
        <v>730000</v>
      </c>
      <c r="H34" s="15">
        <v>730000</v>
      </c>
      <c r="I34" s="13">
        <v>730000</v>
      </c>
      <c r="J34" s="16">
        <v>335000</v>
      </c>
      <c r="K34" s="14">
        <v>0</v>
      </c>
      <c r="L34" s="15">
        <v>0</v>
      </c>
      <c r="M34" s="77"/>
      <c r="N34" s="5"/>
      <c r="O34" s="5"/>
      <c r="P34" s="5"/>
      <c r="Q34" s="5"/>
      <c r="R34" s="5"/>
    </row>
    <row r="35" spans="1:18">
      <c r="A35" s="12" t="s">
        <v>116</v>
      </c>
      <c r="B35" s="48"/>
      <c r="C35" s="64">
        <v>10389508</v>
      </c>
      <c r="D35" s="64">
        <v>10386647.499999996</v>
      </c>
      <c r="E35" s="15">
        <v>7911237.8999999985</v>
      </c>
      <c r="F35" s="16">
        <v>6973745</v>
      </c>
      <c r="G35" s="14">
        <v>9610829</v>
      </c>
      <c r="H35" s="15">
        <v>9610829</v>
      </c>
      <c r="I35" s="13">
        <v>9610829</v>
      </c>
      <c r="J35" s="16">
        <v>12000000</v>
      </c>
      <c r="K35" s="14">
        <v>13685200</v>
      </c>
      <c r="L35" s="15">
        <v>7485900</v>
      </c>
      <c r="M35" s="77"/>
      <c r="N35" s="5"/>
      <c r="O35" s="5"/>
      <c r="P35" s="5"/>
      <c r="Q35" s="5"/>
      <c r="R35" s="5"/>
    </row>
    <row r="36" spans="1:18">
      <c r="A36" s="12" t="s">
        <v>117</v>
      </c>
      <c r="B36" s="48"/>
      <c r="C36" s="107">
        <v>0</v>
      </c>
      <c r="D36" s="107">
        <v>0</v>
      </c>
      <c r="E36" s="108">
        <v>0</v>
      </c>
      <c r="F36" s="109">
        <v>0</v>
      </c>
      <c r="G36" s="105">
        <v>0</v>
      </c>
      <c r="H36" s="108">
        <v>0</v>
      </c>
      <c r="I36" s="106">
        <v>0</v>
      </c>
      <c r="J36" s="109">
        <v>0</v>
      </c>
      <c r="K36" s="105">
        <v>0</v>
      </c>
      <c r="L36" s="108">
        <v>4620000</v>
      </c>
      <c r="M36" s="77"/>
      <c r="N36" s="5"/>
      <c r="O36" s="5"/>
      <c r="P36" s="5"/>
      <c r="Q36" s="5"/>
      <c r="R36" s="5"/>
    </row>
    <row r="37" spans="1:18">
      <c r="A37" s="12" t="s">
        <v>118</v>
      </c>
      <c r="B37" s="48"/>
      <c r="C37" s="107">
        <v>6169373</v>
      </c>
      <c r="D37" s="107">
        <v>8774384.3200000003</v>
      </c>
      <c r="E37" s="108">
        <v>15104318.27</v>
      </c>
      <c r="F37" s="109">
        <v>7575055</v>
      </c>
      <c r="G37" s="105">
        <v>25958292</v>
      </c>
      <c r="H37" s="108">
        <v>25958292</v>
      </c>
      <c r="I37" s="106">
        <v>25958292</v>
      </c>
      <c r="J37" s="109">
        <v>18976050</v>
      </c>
      <c r="K37" s="105">
        <v>7989950</v>
      </c>
      <c r="L37" s="108">
        <v>0</v>
      </c>
      <c r="M37" s="77"/>
      <c r="N37" s="5"/>
      <c r="O37" s="5"/>
      <c r="P37" s="5"/>
      <c r="Q37" s="5"/>
      <c r="R37" s="5"/>
    </row>
    <row r="38" spans="1:18">
      <c r="A38" s="12" t="s">
        <v>119</v>
      </c>
      <c r="B38" s="48"/>
      <c r="C38" s="107">
        <v>0</v>
      </c>
      <c r="D38" s="107">
        <v>0</v>
      </c>
      <c r="E38" s="108">
        <v>0</v>
      </c>
      <c r="F38" s="109">
        <v>0</v>
      </c>
      <c r="G38" s="105">
        <v>0</v>
      </c>
      <c r="H38" s="108">
        <v>0</v>
      </c>
      <c r="I38" s="106">
        <v>0</v>
      </c>
      <c r="J38" s="109">
        <v>0</v>
      </c>
      <c r="K38" s="105">
        <v>0</v>
      </c>
      <c r="L38" s="108">
        <v>0</v>
      </c>
      <c r="M38" s="77"/>
      <c r="N38" s="5"/>
      <c r="O38" s="5"/>
      <c r="P38" s="5"/>
      <c r="Q38" s="5"/>
      <c r="R38" s="5"/>
    </row>
    <row r="39" spans="1:18">
      <c r="A39" s="65" t="s">
        <v>158</v>
      </c>
      <c r="B39" s="48"/>
      <c r="C39" s="98">
        <v>17580072.48</v>
      </c>
      <c r="D39" s="98">
        <v>26406364.819999997</v>
      </c>
      <c r="E39" s="99">
        <v>24065430.169999998</v>
      </c>
      <c r="F39" s="100">
        <v>22827350</v>
      </c>
      <c r="G39" s="101">
        <v>39492350</v>
      </c>
      <c r="H39" s="99">
        <v>39492350</v>
      </c>
      <c r="I39" s="102">
        <v>39492350</v>
      </c>
      <c r="J39" s="100">
        <v>42186059</v>
      </c>
      <c r="K39" s="101">
        <v>30175150</v>
      </c>
      <c r="L39" s="99">
        <v>25080000</v>
      </c>
      <c r="M39" s="77"/>
      <c r="N39" s="5"/>
      <c r="O39" s="5"/>
      <c r="P39" s="5"/>
      <c r="Q39" s="5"/>
      <c r="R39" s="5"/>
    </row>
    <row r="40" spans="1:18">
      <c r="A40" s="31" t="s">
        <v>159</v>
      </c>
      <c r="B40" s="50"/>
      <c r="C40" s="66">
        <v>17580072.48</v>
      </c>
      <c r="D40" s="66">
        <v>26406364.819999997</v>
      </c>
      <c r="E40" s="67">
        <v>24065430.169999998</v>
      </c>
      <c r="F40" s="68">
        <v>22827350</v>
      </c>
      <c r="G40" s="69">
        <v>39492350</v>
      </c>
      <c r="H40" s="67">
        <v>39492350</v>
      </c>
      <c r="I40" s="70">
        <v>39492350</v>
      </c>
      <c r="J40" s="68">
        <v>42186059</v>
      </c>
      <c r="K40" s="69">
        <v>30175150</v>
      </c>
      <c r="L40" s="67">
        <v>25080000</v>
      </c>
      <c r="M40" s="77"/>
      <c r="N40" s="5"/>
      <c r="O40" s="5"/>
      <c r="P40" s="5"/>
      <c r="Q40" s="5"/>
      <c r="R40" s="5"/>
    </row>
    <row r="41" spans="1:18">
      <c r="A41" s="18"/>
      <c r="B41" s="48"/>
      <c r="C41" s="64"/>
      <c r="D41" s="64"/>
      <c r="E41" s="15"/>
      <c r="F41" s="16"/>
      <c r="G41" s="14"/>
      <c r="H41" s="15"/>
      <c r="I41" s="13"/>
      <c r="J41" s="16"/>
      <c r="K41" s="14"/>
      <c r="L41" s="15"/>
      <c r="M41" s="77"/>
      <c r="N41" s="5"/>
      <c r="O41" s="5"/>
      <c r="P41" s="5"/>
      <c r="Q41" s="5"/>
      <c r="R41" s="5"/>
    </row>
    <row r="42" spans="1:18">
      <c r="A42" s="11" t="s">
        <v>160</v>
      </c>
      <c r="B42" s="48"/>
      <c r="C42" s="64"/>
      <c r="D42" s="64"/>
      <c r="E42" s="15"/>
      <c r="F42" s="16"/>
      <c r="G42" s="14"/>
      <c r="H42" s="15"/>
      <c r="I42" s="13"/>
      <c r="J42" s="95"/>
      <c r="K42" s="14"/>
      <c r="L42" s="96"/>
      <c r="M42" s="77"/>
      <c r="N42" s="5"/>
      <c r="O42" s="5"/>
      <c r="P42" s="5"/>
      <c r="Q42" s="5"/>
      <c r="R42" s="5"/>
    </row>
    <row r="43" spans="1:18">
      <c r="A43" s="93" t="s">
        <v>161</v>
      </c>
      <c r="B43" s="92"/>
      <c r="C43" s="87">
        <v>779738.07</v>
      </c>
      <c r="D43" s="87">
        <v>341228</v>
      </c>
      <c r="E43" s="103">
        <v>733754</v>
      </c>
      <c r="F43" s="91">
        <v>1407650</v>
      </c>
      <c r="G43" s="87">
        <v>777650</v>
      </c>
      <c r="H43" s="104">
        <v>777650</v>
      </c>
      <c r="I43" s="90">
        <v>777650</v>
      </c>
      <c r="J43" s="91">
        <v>745000</v>
      </c>
      <c r="K43" s="87">
        <v>0</v>
      </c>
      <c r="L43" s="104">
        <v>0</v>
      </c>
      <c r="M43" s="77"/>
      <c r="N43" s="5"/>
      <c r="O43" s="5"/>
      <c r="P43" s="5"/>
      <c r="Q43" s="38"/>
      <c r="R43" s="39"/>
    </row>
    <row r="44" spans="1:18">
      <c r="A44" s="94" t="s">
        <v>70</v>
      </c>
      <c r="B44" s="92"/>
      <c r="C44" s="113">
        <v>702412.07</v>
      </c>
      <c r="D44" s="113">
        <v>6360</v>
      </c>
      <c r="E44" s="115"/>
      <c r="F44" s="116">
        <v>628000</v>
      </c>
      <c r="G44" s="113">
        <v>78000</v>
      </c>
      <c r="H44" s="117">
        <v>78000</v>
      </c>
      <c r="I44" s="116">
        <v>78000</v>
      </c>
      <c r="J44" s="114">
        <v>0</v>
      </c>
      <c r="K44" s="114">
        <v>0</v>
      </c>
      <c r="L44" s="114">
        <v>0</v>
      </c>
      <c r="M44" s="77"/>
      <c r="N44" s="5"/>
      <c r="O44" s="5"/>
      <c r="P44" s="5"/>
      <c r="Q44" s="38"/>
      <c r="R44" s="39"/>
    </row>
    <row r="45" spans="1:18">
      <c r="A45" s="94" t="s">
        <v>71</v>
      </c>
      <c r="B45" s="92"/>
      <c r="C45" s="118"/>
      <c r="D45" s="118">
        <v>33638</v>
      </c>
      <c r="E45" s="119">
        <v>733754</v>
      </c>
      <c r="F45" s="120">
        <v>635000</v>
      </c>
      <c r="G45" s="118">
        <v>595000</v>
      </c>
      <c r="H45" s="121">
        <v>595000</v>
      </c>
      <c r="I45" s="116">
        <v>595000</v>
      </c>
      <c r="J45" s="122">
        <v>650000</v>
      </c>
      <c r="K45" s="122">
        <v>0</v>
      </c>
      <c r="L45" s="122">
        <v>0</v>
      </c>
      <c r="M45" s="77"/>
      <c r="N45" s="5"/>
      <c r="O45" s="5"/>
      <c r="P45" s="5"/>
      <c r="Q45" s="38"/>
      <c r="R45" s="39"/>
    </row>
    <row r="46" spans="1:18">
      <c r="A46" s="94" t="s">
        <v>72</v>
      </c>
      <c r="B46" s="92"/>
      <c r="C46" s="113">
        <v>77326</v>
      </c>
      <c r="D46" s="113">
        <v>301230</v>
      </c>
      <c r="E46" s="115"/>
      <c r="F46" s="116">
        <v>144650</v>
      </c>
      <c r="G46" s="113">
        <v>104650</v>
      </c>
      <c r="H46" s="117">
        <v>104650</v>
      </c>
      <c r="I46" s="116">
        <v>104650</v>
      </c>
      <c r="J46" s="114">
        <v>95000</v>
      </c>
      <c r="K46" s="114">
        <v>0</v>
      </c>
      <c r="L46" s="114">
        <v>0</v>
      </c>
      <c r="M46" s="77"/>
      <c r="N46" s="5"/>
      <c r="O46" s="5"/>
      <c r="P46" s="5"/>
      <c r="Q46" s="38"/>
      <c r="R46" s="39"/>
    </row>
    <row r="47" spans="1:18">
      <c r="A47" s="93" t="s">
        <v>73</v>
      </c>
      <c r="B47" s="92"/>
      <c r="C47" s="87">
        <v>173664.05000000051</v>
      </c>
      <c r="D47" s="87">
        <v>6894869</v>
      </c>
      <c r="E47" s="88">
        <v>223120</v>
      </c>
      <c r="F47" s="89">
        <v>1202400</v>
      </c>
      <c r="G47" s="87">
        <v>127400</v>
      </c>
      <c r="H47" s="90">
        <v>127400</v>
      </c>
      <c r="I47" s="89">
        <v>127400</v>
      </c>
      <c r="J47" s="91">
        <v>4182009</v>
      </c>
      <c r="K47" s="87">
        <v>3500000</v>
      </c>
      <c r="L47" s="104">
        <v>3500000</v>
      </c>
      <c r="M47" s="77"/>
      <c r="N47" s="5"/>
      <c r="O47" s="5"/>
      <c r="P47" s="5"/>
      <c r="Q47" s="38"/>
      <c r="R47" s="39"/>
    </row>
    <row r="48" spans="1:18">
      <c r="A48" s="94" t="s">
        <v>74</v>
      </c>
      <c r="B48" s="92"/>
      <c r="C48" s="113">
        <v>80850</v>
      </c>
      <c r="D48" s="113">
        <v>170201</v>
      </c>
      <c r="E48" s="115"/>
      <c r="F48" s="116">
        <v>31300</v>
      </c>
      <c r="G48" s="113">
        <v>31300</v>
      </c>
      <c r="H48" s="117">
        <v>31300</v>
      </c>
      <c r="I48" s="116">
        <v>31300</v>
      </c>
      <c r="J48" s="114">
        <v>45720</v>
      </c>
      <c r="K48" s="114">
        <v>0</v>
      </c>
      <c r="L48" s="114">
        <v>0</v>
      </c>
      <c r="M48" s="77"/>
      <c r="N48" s="5"/>
      <c r="O48" s="5"/>
      <c r="P48" s="5"/>
      <c r="Q48" s="38"/>
      <c r="R48" s="39"/>
    </row>
    <row r="49" spans="1:18">
      <c r="A49" s="94" t="s">
        <v>75</v>
      </c>
      <c r="B49" s="92"/>
      <c r="C49" s="113"/>
      <c r="D49" s="113"/>
      <c r="E49" s="115">
        <v>223120</v>
      </c>
      <c r="F49" s="116">
        <v>1000000</v>
      </c>
      <c r="G49" s="113">
        <v>0</v>
      </c>
      <c r="H49" s="117">
        <v>0</v>
      </c>
      <c r="I49" s="116">
        <v>0</v>
      </c>
      <c r="J49" s="114">
        <v>3500000</v>
      </c>
      <c r="K49" s="114">
        <v>3500000</v>
      </c>
      <c r="L49" s="114">
        <v>3500000</v>
      </c>
      <c r="M49" s="77"/>
      <c r="N49" s="5"/>
      <c r="O49" s="5"/>
      <c r="P49" s="5"/>
      <c r="Q49" s="38"/>
      <c r="R49" s="39"/>
    </row>
    <row r="50" spans="1:18">
      <c r="A50" s="94" t="s">
        <v>76</v>
      </c>
      <c r="B50" s="92"/>
      <c r="C50" s="113">
        <v>85154.050000000279</v>
      </c>
      <c r="D50" s="113">
        <v>6686022</v>
      </c>
      <c r="E50" s="115"/>
      <c r="F50" s="116">
        <v>171100</v>
      </c>
      <c r="G50" s="113">
        <v>96100</v>
      </c>
      <c r="H50" s="117">
        <v>96100</v>
      </c>
      <c r="I50" s="116">
        <v>96100</v>
      </c>
      <c r="J50" s="114">
        <v>636289</v>
      </c>
      <c r="K50" s="114">
        <v>0</v>
      </c>
      <c r="L50" s="114">
        <v>0</v>
      </c>
      <c r="M50" s="77"/>
      <c r="N50" s="5"/>
      <c r="O50" s="5"/>
      <c r="P50" s="5"/>
      <c r="Q50" s="38"/>
      <c r="R50" s="39"/>
    </row>
    <row r="51" spans="1:18">
      <c r="A51" s="94" t="s">
        <v>80</v>
      </c>
      <c r="B51" s="92"/>
      <c r="C51" s="113"/>
      <c r="D51" s="113"/>
      <c r="E51" s="115"/>
      <c r="F51" s="116"/>
      <c r="G51" s="113">
        <v>0</v>
      </c>
      <c r="H51" s="117">
        <v>0</v>
      </c>
      <c r="I51" s="116">
        <v>0</v>
      </c>
      <c r="J51" s="114"/>
      <c r="K51" s="114"/>
      <c r="L51" s="114"/>
      <c r="M51" s="77"/>
      <c r="N51" s="5"/>
      <c r="O51" s="5"/>
      <c r="P51" s="5"/>
      <c r="Q51" s="38"/>
      <c r="R51" s="39"/>
    </row>
    <row r="52" spans="1:18">
      <c r="A52" s="94" t="s">
        <v>81</v>
      </c>
      <c r="B52" s="92"/>
      <c r="C52" s="118">
        <v>7660.0000000002328</v>
      </c>
      <c r="D52" s="118">
        <v>38646</v>
      </c>
      <c r="E52" s="119"/>
      <c r="F52" s="120"/>
      <c r="G52" s="118">
        <v>0</v>
      </c>
      <c r="H52" s="121">
        <v>0</v>
      </c>
      <c r="I52" s="116">
        <v>0</v>
      </c>
      <c r="J52" s="122"/>
      <c r="K52" s="122"/>
      <c r="L52" s="122"/>
      <c r="M52" s="77"/>
      <c r="N52" s="5"/>
      <c r="O52" s="5"/>
      <c r="P52" s="5"/>
      <c r="Q52" s="38"/>
      <c r="R52" s="39"/>
    </row>
    <row r="53" spans="1:18">
      <c r="A53" s="93" t="s">
        <v>83</v>
      </c>
      <c r="B53" s="86"/>
      <c r="C53" s="87">
        <v>67789.360000000335</v>
      </c>
      <c r="D53" s="87">
        <v>9236</v>
      </c>
      <c r="E53" s="88">
        <v>93000</v>
      </c>
      <c r="F53" s="89">
        <v>5138500</v>
      </c>
      <c r="G53" s="87">
        <v>2288179</v>
      </c>
      <c r="H53" s="90">
        <v>2288179</v>
      </c>
      <c r="I53" s="89">
        <v>2288179</v>
      </c>
      <c r="J53" s="91">
        <v>5948000</v>
      </c>
      <c r="K53" s="87">
        <v>5000000</v>
      </c>
      <c r="L53" s="104">
        <v>9474100</v>
      </c>
      <c r="M53" s="77"/>
      <c r="N53" s="5"/>
      <c r="O53" s="5"/>
      <c r="P53" s="5"/>
      <c r="Q53" s="38"/>
      <c r="R53" s="39"/>
    </row>
    <row r="54" spans="1:18">
      <c r="A54" s="94" t="s">
        <v>84</v>
      </c>
      <c r="B54" s="92"/>
      <c r="C54" s="113">
        <v>67789.360000000335</v>
      </c>
      <c r="D54" s="113"/>
      <c r="E54" s="115"/>
      <c r="F54" s="116">
        <v>350000</v>
      </c>
      <c r="G54" s="113">
        <v>1150000</v>
      </c>
      <c r="H54" s="117">
        <v>1150000</v>
      </c>
      <c r="I54" s="116">
        <v>1150000</v>
      </c>
      <c r="J54" s="114">
        <v>47000</v>
      </c>
      <c r="K54" s="114">
        <v>0</v>
      </c>
      <c r="L54" s="114">
        <v>0</v>
      </c>
      <c r="M54" s="77"/>
      <c r="N54" s="5"/>
      <c r="O54" s="5"/>
      <c r="P54" s="5"/>
      <c r="Q54" s="38"/>
      <c r="R54" s="39"/>
    </row>
    <row r="55" spans="1:18">
      <c r="A55" s="94" t="s">
        <v>85</v>
      </c>
      <c r="B55" s="92"/>
      <c r="C55" s="113"/>
      <c r="D55" s="113">
        <v>8478</v>
      </c>
      <c r="E55" s="115"/>
      <c r="F55" s="116">
        <v>4780000</v>
      </c>
      <c r="G55" s="113">
        <v>1129679</v>
      </c>
      <c r="H55" s="117">
        <v>1129679</v>
      </c>
      <c r="I55" s="116">
        <v>1129679</v>
      </c>
      <c r="J55" s="114">
        <v>5892000</v>
      </c>
      <c r="K55" s="114">
        <v>5000000</v>
      </c>
      <c r="L55" s="114">
        <v>9474100</v>
      </c>
      <c r="M55" s="77"/>
      <c r="N55" s="5"/>
      <c r="O55" s="5"/>
      <c r="P55" s="5"/>
      <c r="Q55" s="38"/>
      <c r="R55" s="39"/>
    </row>
    <row r="56" spans="1:18">
      <c r="A56" s="94" t="s">
        <v>87</v>
      </c>
      <c r="B56" s="92"/>
      <c r="C56" s="113"/>
      <c r="D56" s="113">
        <v>758</v>
      </c>
      <c r="E56" s="115">
        <v>93000</v>
      </c>
      <c r="F56" s="116">
        <v>8500</v>
      </c>
      <c r="G56" s="113">
        <v>8500</v>
      </c>
      <c r="H56" s="117">
        <v>8500</v>
      </c>
      <c r="I56" s="116">
        <v>8500</v>
      </c>
      <c r="J56" s="114">
        <v>9000</v>
      </c>
      <c r="K56" s="114">
        <v>0</v>
      </c>
      <c r="L56" s="114">
        <v>0</v>
      </c>
      <c r="M56" s="77"/>
      <c r="N56" s="5"/>
      <c r="O56" s="5"/>
      <c r="P56" s="5"/>
      <c r="Q56" s="38"/>
      <c r="R56" s="39"/>
    </row>
    <row r="57" spans="1:18">
      <c r="A57" s="93" t="s">
        <v>88</v>
      </c>
      <c r="B57" s="86"/>
      <c r="C57" s="87">
        <v>16558881</v>
      </c>
      <c r="D57" s="87">
        <v>19161031.819999997</v>
      </c>
      <c r="E57" s="88">
        <v>23015556.169999998</v>
      </c>
      <c r="F57" s="89">
        <v>15078800</v>
      </c>
      <c r="G57" s="87">
        <v>36299121</v>
      </c>
      <c r="H57" s="90">
        <v>36299121</v>
      </c>
      <c r="I57" s="89">
        <v>36299121</v>
      </c>
      <c r="J57" s="91">
        <v>31311050</v>
      </c>
      <c r="K57" s="87">
        <v>21675150</v>
      </c>
      <c r="L57" s="104">
        <v>12105900</v>
      </c>
      <c r="M57" s="77"/>
      <c r="N57" s="5"/>
      <c r="O57" s="5"/>
      <c r="P57" s="5"/>
      <c r="Q57" s="38"/>
      <c r="R57" s="39"/>
    </row>
    <row r="58" spans="1:18">
      <c r="A58" s="94" t="s">
        <v>89</v>
      </c>
      <c r="B58" s="92"/>
      <c r="C58" s="113"/>
      <c r="D58" s="113"/>
      <c r="E58" s="115"/>
      <c r="F58" s="116"/>
      <c r="G58" s="113">
        <v>0</v>
      </c>
      <c r="H58" s="117">
        <v>0</v>
      </c>
      <c r="I58" s="116">
        <v>0</v>
      </c>
      <c r="J58" s="114">
        <v>0</v>
      </c>
      <c r="K58" s="114">
        <v>0</v>
      </c>
      <c r="L58" s="114">
        <v>4620000</v>
      </c>
      <c r="M58" s="77"/>
      <c r="N58" s="5"/>
      <c r="O58" s="5"/>
      <c r="P58" s="5"/>
      <c r="Q58" s="38"/>
      <c r="R58" s="39"/>
    </row>
    <row r="59" spans="1:18">
      <c r="A59" s="94" t="s">
        <v>90</v>
      </c>
      <c r="B59" s="92"/>
      <c r="C59" s="113">
        <v>6169373</v>
      </c>
      <c r="D59" s="113"/>
      <c r="E59" s="115">
        <v>15104318.27</v>
      </c>
      <c r="F59" s="116">
        <v>7575055</v>
      </c>
      <c r="G59" s="113">
        <v>25958292</v>
      </c>
      <c r="H59" s="117">
        <v>25958292</v>
      </c>
      <c r="I59" s="116">
        <v>25958292</v>
      </c>
      <c r="J59" s="114">
        <v>18976050</v>
      </c>
      <c r="K59" s="114">
        <v>7989950</v>
      </c>
      <c r="L59" s="114">
        <v>0</v>
      </c>
      <c r="M59" s="77"/>
      <c r="N59" s="5"/>
      <c r="O59" s="5"/>
      <c r="P59" s="5"/>
      <c r="Q59" s="38"/>
      <c r="R59" s="39"/>
    </row>
    <row r="60" spans="1:18">
      <c r="A60" s="94" t="s">
        <v>91</v>
      </c>
      <c r="B60" s="92"/>
      <c r="C60" s="118">
        <v>10389508</v>
      </c>
      <c r="D60" s="118">
        <v>10386647.499999996</v>
      </c>
      <c r="E60" s="119">
        <v>7911237.8999999985</v>
      </c>
      <c r="F60" s="120">
        <v>6973745</v>
      </c>
      <c r="G60" s="118">
        <v>9610829</v>
      </c>
      <c r="H60" s="121">
        <v>9610829</v>
      </c>
      <c r="I60" s="116">
        <v>9610829</v>
      </c>
      <c r="J60" s="122">
        <v>12000000</v>
      </c>
      <c r="K60" s="122">
        <v>13685200</v>
      </c>
      <c r="L60" s="122">
        <v>7485900</v>
      </c>
      <c r="M60" s="77"/>
      <c r="N60" s="5"/>
      <c r="O60" s="5"/>
      <c r="P60" s="5"/>
      <c r="Q60" s="38"/>
      <c r="R60" s="39"/>
    </row>
    <row r="61" spans="1:18">
      <c r="A61" s="94" t="s">
        <v>92</v>
      </c>
      <c r="B61" s="92"/>
      <c r="C61" s="113"/>
      <c r="D61" s="113">
        <v>8774384.3200000003</v>
      </c>
      <c r="E61" s="115"/>
      <c r="F61" s="116">
        <v>530000</v>
      </c>
      <c r="G61" s="113">
        <v>730000</v>
      </c>
      <c r="H61" s="117">
        <v>730000</v>
      </c>
      <c r="I61" s="116">
        <v>730000</v>
      </c>
      <c r="J61" s="114">
        <v>335000</v>
      </c>
      <c r="K61" s="114">
        <v>0</v>
      </c>
      <c r="L61" s="114">
        <v>0</v>
      </c>
      <c r="M61" s="77"/>
      <c r="N61" s="5"/>
      <c r="O61" s="5"/>
      <c r="P61" s="5"/>
      <c r="Q61" s="38"/>
      <c r="R61" s="39"/>
    </row>
    <row r="62" spans="1:18">
      <c r="A62" s="93" t="s">
        <v>79</v>
      </c>
      <c r="B62" s="86"/>
      <c r="C62" s="123"/>
      <c r="D62" s="123"/>
      <c r="E62" s="124"/>
      <c r="F62" s="125"/>
      <c r="G62" s="123">
        <v>0</v>
      </c>
      <c r="H62" s="126">
        <v>0</v>
      </c>
      <c r="I62" s="116">
        <v>0</v>
      </c>
      <c r="J62" s="127"/>
      <c r="K62" s="127"/>
      <c r="L62" s="127"/>
      <c r="M62" s="77"/>
      <c r="N62" s="5"/>
      <c r="O62" s="5"/>
      <c r="P62" s="5"/>
      <c r="Q62" s="38"/>
      <c r="R62" s="39"/>
    </row>
    <row r="63" spans="1:18">
      <c r="A63" s="71" t="s">
        <v>162</v>
      </c>
      <c r="B63" s="50">
        <v>3</v>
      </c>
      <c r="C63" s="33">
        <v>17580072.48</v>
      </c>
      <c r="D63" s="33">
        <v>26406364.819999997</v>
      </c>
      <c r="E63" s="75">
        <v>24065430.169999998</v>
      </c>
      <c r="F63" s="76">
        <v>22827350</v>
      </c>
      <c r="G63" s="33">
        <v>39492350</v>
      </c>
      <c r="H63" s="75">
        <v>39492350</v>
      </c>
      <c r="I63" s="32">
        <v>39492350</v>
      </c>
      <c r="J63" s="76">
        <v>42186059</v>
      </c>
      <c r="K63" s="33">
        <v>30175150</v>
      </c>
      <c r="L63" s="75">
        <v>25080000</v>
      </c>
      <c r="M63" s="77"/>
      <c r="N63" s="5"/>
      <c r="O63" s="5"/>
      <c r="P63" s="5"/>
      <c r="Q63" s="5"/>
      <c r="R63" s="5"/>
    </row>
    <row r="64" spans="1:18">
      <c r="A64" s="17"/>
      <c r="B64" s="48"/>
      <c r="C64" s="28"/>
      <c r="D64" s="28"/>
      <c r="E64" s="27"/>
      <c r="F64" s="30"/>
      <c r="G64" s="28"/>
      <c r="H64" s="29"/>
      <c r="I64" s="27"/>
      <c r="J64" s="30"/>
      <c r="K64" s="28"/>
      <c r="L64" s="29"/>
      <c r="M64" s="77"/>
      <c r="N64" s="5"/>
      <c r="O64" s="5"/>
      <c r="P64" s="5"/>
      <c r="Q64" s="5"/>
      <c r="R64" s="5"/>
    </row>
    <row r="65" spans="1:13">
      <c r="A65" s="11" t="s">
        <v>163</v>
      </c>
      <c r="B65" s="48"/>
      <c r="C65" s="20"/>
      <c r="D65" s="20"/>
      <c r="E65" s="19"/>
      <c r="F65" s="22"/>
      <c r="G65" s="20"/>
      <c r="H65" s="21"/>
      <c r="I65" s="19"/>
      <c r="J65" s="22"/>
      <c r="K65" s="20"/>
      <c r="L65" s="21"/>
      <c r="M65" s="77"/>
    </row>
    <row r="66" spans="1:13">
      <c r="A66" s="82" t="s">
        <v>164</v>
      </c>
      <c r="B66" s="48"/>
      <c r="C66" s="113">
        <v>16558880</v>
      </c>
      <c r="D66" s="113">
        <v>19161000</v>
      </c>
      <c r="E66" s="117">
        <v>23569332</v>
      </c>
      <c r="F66" s="116">
        <v>18537300</v>
      </c>
      <c r="G66" s="113">
        <v>34537300</v>
      </c>
      <c r="H66" s="115">
        <v>34537300</v>
      </c>
      <c r="I66" s="117">
        <v>34537300</v>
      </c>
      <c r="J66" s="116">
        <v>39476050</v>
      </c>
      <c r="K66" s="116">
        <v>30175150</v>
      </c>
      <c r="L66" s="116">
        <v>25080000</v>
      </c>
      <c r="M66" s="77"/>
    </row>
    <row r="67" spans="1:13">
      <c r="A67" s="82" t="s">
        <v>165</v>
      </c>
      <c r="B67" s="48"/>
      <c r="C67" s="118">
        <v>0</v>
      </c>
      <c r="D67" s="113"/>
      <c r="E67" s="117"/>
      <c r="F67" s="116"/>
      <c r="G67" s="113">
        <v>0</v>
      </c>
      <c r="H67" s="115">
        <v>0</v>
      </c>
      <c r="I67" s="117">
        <v>0</v>
      </c>
      <c r="J67" s="116"/>
      <c r="K67" s="113"/>
      <c r="L67" s="115"/>
      <c r="M67" s="77"/>
    </row>
    <row r="68" spans="1:13">
      <c r="A68" s="82" t="s">
        <v>166</v>
      </c>
      <c r="B68" s="48"/>
      <c r="C68" s="118">
        <v>0</v>
      </c>
      <c r="D68" s="118"/>
      <c r="E68" s="118"/>
      <c r="F68" s="120"/>
      <c r="G68" s="118">
        <v>0</v>
      </c>
      <c r="H68" s="119">
        <v>0</v>
      </c>
      <c r="I68" s="117">
        <v>0</v>
      </c>
      <c r="J68" s="120"/>
      <c r="K68" s="118"/>
      <c r="L68" s="119"/>
      <c r="M68" s="77"/>
    </row>
    <row r="69" spans="1:13">
      <c r="A69" s="97" t="s">
        <v>167</v>
      </c>
      <c r="B69" s="48"/>
      <c r="C69" s="118"/>
      <c r="D69" s="118"/>
      <c r="E69" s="121"/>
      <c r="F69" s="120"/>
      <c r="G69" s="118">
        <v>0</v>
      </c>
      <c r="H69" s="119">
        <v>0</v>
      </c>
      <c r="I69" s="117">
        <v>0</v>
      </c>
      <c r="J69" s="120"/>
      <c r="K69" s="118"/>
      <c r="L69" s="119"/>
      <c r="M69" s="77"/>
    </row>
    <row r="70" spans="1:13">
      <c r="A70" s="110" t="s">
        <v>31</v>
      </c>
      <c r="B70" s="48">
        <v>4</v>
      </c>
      <c r="C70" s="24">
        <v>16558880</v>
      </c>
      <c r="D70" s="24">
        <v>19161000</v>
      </c>
      <c r="E70" s="23">
        <v>23569332</v>
      </c>
      <c r="F70" s="26">
        <v>18537300</v>
      </c>
      <c r="G70" s="24">
        <v>34537300</v>
      </c>
      <c r="H70" s="25">
        <v>34537300</v>
      </c>
      <c r="I70" s="23">
        <v>34537300</v>
      </c>
      <c r="J70" s="26">
        <v>39476050</v>
      </c>
      <c r="K70" s="24">
        <v>30175150</v>
      </c>
      <c r="L70" s="25">
        <v>25080000</v>
      </c>
      <c r="M70" s="112"/>
    </row>
    <row r="71" spans="1:13">
      <c r="A71" s="81" t="s">
        <v>37</v>
      </c>
      <c r="B71" s="48">
        <v>5</v>
      </c>
      <c r="C71" s="118">
        <v>66150</v>
      </c>
      <c r="D71" s="113">
        <v>4044947</v>
      </c>
      <c r="E71" s="117">
        <v>316120</v>
      </c>
      <c r="F71" s="116"/>
      <c r="G71" s="113">
        <v>0</v>
      </c>
      <c r="H71" s="115">
        <v>0</v>
      </c>
      <c r="I71" s="117">
        <v>0</v>
      </c>
      <c r="J71" s="116"/>
      <c r="K71" s="113"/>
      <c r="L71" s="115"/>
      <c r="M71" s="77"/>
    </row>
    <row r="72" spans="1:13">
      <c r="A72" s="81" t="s">
        <v>38</v>
      </c>
      <c r="B72" s="48">
        <v>6</v>
      </c>
      <c r="C72" s="113">
        <v>588081</v>
      </c>
      <c r="D72" s="113">
        <v>2488469</v>
      </c>
      <c r="E72" s="117"/>
      <c r="F72" s="116">
        <v>2880000</v>
      </c>
      <c r="G72" s="113">
        <v>4330000</v>
      </c>
      <c r="H72" s="115">
        <v>4330000</v>
      </c>
      <c r="I72" s="117">
        <v>4330000</v>
      </c>
      <c r="J72" s="116">
        <v>300000</v>
      </c>
      <c r="K72" s="116">
        <v>0</v>
      </c>
      <c r="L72" s="116">
        <v>0</v>
      </c>
      <c r="M72" s="77"/>
    </row>
    <row r="73" spans="1:13">
      <c r="A73" s="81" t="s">
        <v>39</v>
      </c>
      <c r="B73" s="48"/>
      <c r="C73" s="113">
        <v>366961</v>
      </c>
      <c r="D73" s="113">
        <v>711915</v>
      </c>
      <c r="E73" s="117">
        <v>179979</v>
      </c>
      <c r="F73" s="116">
        <v>1410050</v>
      </c>
      <c r="G73" s="113">
        <v>625050</v>
      </c>
      <c r="H73" s="115">
        <v>625050</v>
      </c>
      <c r="I73" s="117">
        <v>625050</v>
      </c>
      <c r="J73" s="116">
        <v>2410009</v>
      </c>
      <c r="K73" s="116">
        <v>0</v>
      </c>
      <c r="L73" s="116">
        <v>0</v>
      </c>
      <c r="M73" s="77"/>
    </row>
    <row r="74" spans="1:13">
      <c r="A74" s="31" t="s">
        <v>168</v>
      </c>
      <c r="B74" s="50">
        <v>7</v>
      </c>
      <c r="C74" s="36">
        <v>17580072</v>
      </c>
      <c r="D74" s="36">
        <v>26406331</v>
      </c>
      <c r="E74" s="37">
        <v>24065431</v>
      </c>
      <c r="F74" s="35">
        <v>22827350</v>
      </c>
      <c r="G74" s="36">
        <v>39492350</v>
      </c>
      <c r="H74" s="34">
        <v>39492350</v>
      </c>
      <c r="I74" s="37">
        <v>39492350</v>
      </c>
      <c r="J74" s="35">
        <v>42186059</v>
      </c>
      <c r="K74" s="36">
        <v>30175150</v>
      </c>
      <c r="L74" s="34">
        <v>25080000</v>
      </c>
      <c r="M74" s="77"/>
    </row>
    <row r="75" spans="1:13">
      <c r="A75" s="45"/>
      <c r="B75" s="5"/>
      <c r="C75" s="72"/>
      <c r="D75" s="72"/>
      <c r="E75" s="73"/>
      <c r="F75" s="74"/>
      <c r="G75" s="73"/>
      <c r="H75" s="73"/>
      <c r="I75" s="73"/>
      <c r="J75" s="73"/>
      <c r="K75" s="73"/>
      <c r="L75" s="73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</sheetData>
  <mergeCells count="2">
    <mergeCell ref="J2:L2"/>
    <mergeCell ref="F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8"/>
  <sheetViews>
    <sheetView topLeftCell="A31" workbookViewId="0">
      <selection activeCell="A49" sqref="A49:XFD57"/>
    </sheetView>
  </sheetViews>
  <sheetFormatPr defaultRowHeight="12.75"/>
  <cols>
    <col min="1" max="1" width="30.7109375" style="1104" customWidth="1"/>
    <col min="2" max="7" width="9.28515625" style="1104" customWidth="1"/>
    <col min="8" max="8" width="9.140625" style="1104" customWidth="1"/>
    <col min="9" max="11" width="9.28515625" style="1104" customWidth="1"/>
    <col min="12" max="12" width="9.85546875" style="1104" customWidth="1"/>
    <col min="13" max="13" width="9.5703125" style="1104" customWidth="1"/>
    <col min="14" max="14" width="9.85546875" style="1104" customWidth="1"/>
    <col min="15" max="17" width="9.5703125" style="1104" customWidth="1"/>
    <col min="18" max="18" width="9.85546875" style="1104" customWidth="1"/>
    <col min="19" max="21" width="9.5703125" style="1104" customWidth="1"/>
    <col min="22" max="23" width="9.85546875" style="1104" customWidth="1"/>
    <col min="24" max="16384" width="9.140625" style="1104"/>
  </cols>
  <sheetData>
    <row r="1" spans="1:11" s="1236" customFormat="1">
      <c r="A1" s="1188" t="str">
        <f>muni&amp;" - "&amp;Approve6</f>
        <v>EC106 Sundays River Valley - Table A6 Budgeted Financial Position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</row>
    <row r="2" spans="1:11">
      <c r="A2" s="1190" t="str">
        <f>desc</f>
        <v>Description</v>
      </c>
      <c r="B2" s="1106" t="str">
        <f>head1b</f>
        <v>2008/9</v>
      </c>
      <c r="C2" s="1106" t="str">
        <f>head1A</f>
        <v>2009/10</v>
      </c>
      <c r="D2" s="1108" t="str">
        <f>Head1</f>
        <v>2010/11</v>
      </c>
      <c r="E2" s="1404" t="str">
        <f>Head2</f>
        <v>Current Year 2011/12</v>
      </c>
      <c r="F2" s="1405"/>
      <c r="G2" s="1405"/>
      <c r="H2" s="1405"/>
      <c r="I2" s="1401" t="str">
        <f>Head3</f>
        <v>2012/13 Medium Term Revenue &amp; Expenditure Framework</v>
      </c>
      <c r="J2" s="1402"/>
      <c r="K2" s="1403"/>
    </row>
    <row r="3" spans="1:11" ht="25.5">
      <c r="A3" s="1192" t="s">
        <v>68</v>
      </c>
      <c r="B3" s="1111" t="str">
        <f>Head5</f>
        <v>Audited Outcome</v>
      </c>
      <c r="C3" s="1111" t="str">
        <f>Head5</f>
        <v>Audited Outcome</v>
      </c>
      <c r="D3" s="1112" t="str">
        <f>Head5</f>
        <v>Audited Outcome</v>
      </c>
      <c r="E3" s="1110" t="str">
        <f>Head6</f>
        <v>Original Budget</v>
      </c>
      <c r="F3" s="1111" t="str">
        <f>Head7</f>
        <v>Adjusted Budget</v>
      </c>
      <c r="G3" s="1112" t="str">
        <f>Head8</f>
        <v>Full Year Forecast</v>
      </c>
      <c r="H3" s="1113" t="str">
        <f>Head5b</f>
        <v>Pre-audit outcome</v>
      </c>
      <c r="I3" s="1110" t="str">
        <f>Head9</f>
        <v>Budget Year 2012/13</v>
      </c>
      <c r="J3" s="1111" t="str">
        <f>Head10</f>
        <v>Budget Year +1 2013/14</v>
      </c>
      <c r="K3" s="1112" t="str">
        <f>Head11</f>
        <v>Budget Year +2 2014/15</v>
      </c>
    </row>
    <row r="4" spans="1:11">
      <c r="A4" s="1368" t="s">
        <v>169</v>
      </c>
      <c r="B4" s="1369"/>
      <c r="C4" s="1369"/>
      <c r="D4" s="1370"/>
      <c r="E4" s="1371"/>
      <c r="F4" s="1369"/>
      <c r="G4" s="1370"/>
      <c r="H4" s="1372"/>
      <c r="I4" s="1373"/>
      <c r="J4" s="1369"/>
      <c r="K4" s="1370"/>
    </row>
    <row r="5" spans="1:11">
      <c r="A5" s="1368" t="s">
        <v>170</v>
      </c>
      <c r="B5" s="1327"/>
      <c r="C5" s="1327"/>
      <c r="D5" s="1325"/>
      <c r="E5" s="1326"/>
      <c r="F5" s="1327"/>
      <c r="G5" s="1325"/>
      <c r="H5" s="1329"/>
      <c r="I5" s="1330"/>
      <c r="J5" s="1327"/>
      <c r="K5" s="1325"/>
    </row>
    <row r="6" spans="1:11">
      <c r="A6" s="1374" t="s">
        <v>171</v>
      </c>
      <c r="B6" s="1319">
        <v>57348.919999999925</v>
      </c>
      <c r="C6" s="1319">
        <v>252679.58999999973</v>
      </c>
      <c r="D6" s="1331">
        <v>236336</v>
      </c>
      <c r="E6" s="1332">
        <v>3563522.1303707324</v>
      </c>
      <c r="F6" s="1319">
        <v>10035134.235233292</v>
      </c>
      <c r="G6" s="1319">
        <v>10035134.235233292</v>
      </c>
      <c r="H6" s="1323">
        <v>10035134.235233292</v>
      </c>
      <c r="I6" s="1321">
        <v>12266880.776031733</v>
      </c>
      <c r="J6" s="1321">
        <v>19483612.460994147</v>
      </c>
      <c r="K6" s="1321">
        <f>33922118.7105457-4218000-226.48</f>
        <v>29703892.230545696</v>
      </c>
    </row>
    <row r="7" spans="1:11">
      <c r="A7" s="1374" t="s">
        <v>172</v>
      </c>
      <c r="B7" s="1327">
        <f>[2]SA3!C9</f>
        <v>12511631.220000003</v>
      </c>
      <c r="C7" s="1327">
        <f>[2]SA3!D9</f>
        <v>1615320.5299999996</v>
      </c>
      <c r="D7" s="1223">
        <f>[2]SA3!E9</f>
        <v>528949</v>
      </c>
      <c r="E7" s="1326">
        <f>[2]SA3!F9</f>
        <v>8241320.5300000003</v>
      </c>
      <c r="F7" s="1327">
        <f>[2]SA3!G9</f>
        <v>0</v>
      </c>
      <c r="G7" s="1223">
        <f>[2]SA3!H9</f>
        <v>0</v>
      </c>
      <c r="H7" s="1125">
        <f>[2]SA3!I9</f>
        <v>0</v>
      </c>
      <c r="I7" s="1123">
        <f>[2]SA3!J9</f>
        <v>0</v>
      </c>
      <c r="J7" s="1121">
        <f>[2]SA3!K9</f>
        <v>0</v>
      </c>
      <c r="K7" s="1223">
        <f>[2]SA3!L9</f>
        <v>0</v>
      </c>
    </row>
    <row r="8" spans="1:11">
      <c r="A8" s="1374" t="s">
        <v>173</v>
      </c>
      <c r="B8" s="1327">
        <f>[2]SA3!C14</f>
        <v>2279276.0200000033</v>
      </c>
      <c r="C8" s="1327">
        <f>[2]SA3!D14</f>
        <v>5317027.4799999967</v>
      </c>
      <c r="D8" s="1223">
        <f>[2]SA3!E14</f>
        <v>18155105.399999999</v>
      </c>
      <c r="E8" s="1326">
        <f>[2]SA3!F14</f>
        <v>5576441.13216874</v>
      </c>
      <c r="F8" s="1327">
        <f>[2]SA3!G14</f>
        <v>14560200</v>
      </c>
      <c r="G8" s="1223">
        <f>[2]SA3!H14</f>
        <v>14560200</v>
      </c>
      <c r="H8" s="1125">
        <f>[2]SA3!I14</f>
        <v>14560200</v>
      </c>
      <c r="I8" s="1123">
        <f>[2]SA3!J14</f>
        <v>14560200</v>
      </c>
      <c r="J8" s="1121">
        <f>[2]SA3!K14</f>
        <v>14560199.999999985</v>
      </c>
      <c r="K8" s="1223">
        <f>[2]SA3!L14</f>
        <v>14560199.999999985</v>
      </c>
    </row>
    <row r="9" spans="1:11">
      <c r="A9" s="1374" t="s">
        <v>174</v>
      </c>
      <c r="B9" s="1319">
        <v>27270518.390000001</v>
      </c>
      <c r="C9" s="1319">
        <v>38514601</v>
      </c>
      <c r="D9" s="1331">
        <v>31524114</v>
      </c>
      <c r="E9" s="1332">
        <v>30607639.959846251</v>
      </c>
      <c r="F9" s="1319">
        <v>36016155</v>
      </c>
      <c r="G9" s="1331">
        <v>36016155</v>
      </c>
      <c r="H9" s="1323">
        <v>36016155</v>
      </c>
      <c r="I9" s="1321">
        <v>36221831.698667116</v>
      </c>
      <c r="J9" s="1321">
        <v>36441991.20214738</v>
      </c>
      <c r="K9" s="1321">
        <v>36673598.999808609</v>
      </c>
    </row>
    <row r="10" spans="1:11">
      <c r="A10" s="1374" t="s">
        <v>175</v>
      </c>
      <c r="B10" s="1319">
        <v>3015.67</v>
      </c>
      <c r="C10" s="1319">
        <v>3168.34</v>
      </c>
      <c r="D10" s="1331">
        <v>3168.34</v>
      </c>
      <c r="E10" s="260">
        <v>3556.5693735600003</v>
      </c>
      <c r="F10" s="258">
        <v>3358.0800000000004</v>
      </c>
      <c r="G10" s="259">
        <v>3358.0800000000004</v>
      </c>
      <c r="H10" s="1323">
        <v>3358.0800000000004</v>
      </c>
      <c r="I10" s="262">
        <v>3705.8091840000002</v>
      </c>
      <c r="J10" s="262">
        <v>3898.5112615680005</v>
      </c>
      <c r="K10" s="262">
        <v>4105.132358431104</v>
      </c>
    </row>
    <row r="11" spans="1:11">
      <c r="A11" s="1374" t="s">
        <v>176</v>
      </c>
      <c r="B11" s="1319"/>
      <c r="C11" s="1319">
        <v>253992.62</v>
      </c>
      <c r="D11" s="1331">
        <v>380581</v>
      </c>
      <c r="E11" s="1332"/>
      <c r="F11" s="1319">
        <v>211673.52000000002</v>
      </c>
      <c r="G11" s="1331">
        <v>211673.52000000002</v>
      </c>
      <c r="H11" s="1323">
        <v>211673.52000000002</v>
      </c>
      <c r="I11" s="1321">
        <v>222257.19600000003</v>
      </c>
      <c r="J11" s="1321">
        <v>233592.31299600002</v>
      </c>
      <c r="K11" s="1321">
        <v>245739.11327179204</v>
      </c>
    </row>
    <row r="12" spans="1:11">
      <c r="A12" s="1375" t="s">
        <v>42</v>
      </c>
      <c r="B12" s="1376">
        <f t="shared" ref="B12:K12" si="0">SUM(B6:B11)</f>
        <v>42121790.220000006</v>
      </c>
      <c r="C12" s="1376">
        <f t="shared" si="0"/>
        <v>45956789.559999995</v>
      </c>
      <c r="D12" s="1377">
        <f t="shared" si="0"/>
        <v>50828253.740000002</v>
      </c>
      <c r="E12" s="1378">
        <f t="shared" si="0"/>
        <v>47992480.321759284</v>
      </c>
      <c r="F12" s="1376">
        <f t="shared" si="0"/>
        <v>60826520.835233293</v>
      </c>
      <c r="G12" s="1377">
        <f t="shared" si="0"/>
        <v>60826520.835233293</v>
      </c>
      <c r="H12" s="1218">
        <f t="shared" si="0"/>
        <v>60826520.835233293</v>
      </c>
      <c r="I12" s="1379">
        <f t="shared" si="0"/>
        <v>63274875.479882851</v>
      </c>
      <c r="J12" s="1376">
        <f t="shared" si="0"/>
        <v>70723294.487399086</v>
      </c>
      <c r="K12" s="1377">
        <f t="shared" si="0"/>
        <v>81187535.475984514</v>
      </c>
    </row>
    <row r="13" spans="1:11">
      <c r="A13" s="1380"/>
      <c r="B13" s="1327"/>
      <c r="C13" s="1327"/>
      <c r="D13" s="1325"/>
      <c r="E13" s="1326"/>
      <c r="F13" s="1327"/>
      <c r="G13" s="1325"/>
      <c r="H13" s="1125"/>
      <c r="I13" s="1330"/>
      <c r="J13" s="1327"/>
      <c r="K13" s="1325"/>
    </row>
    <row r="14" spans="1:11">
      <c r="A14" s="1368" t="s">
        <v>177</v>
      </c>
      <c r="B14" s="1327"/>
      <c r="C14" s="1327"/>
      <c r="D14" s="1325"/>
      <c r="E14" s="1326"/>
      <c r="F14" s="1327"/>
      <c r="G14" s="1325"/>
      <c r="H14" s="1125"/>
      <c r="I14" s="1330"/>
      <c r="J14" s="1327"/>
      <c r="K14" s="1325"/>
    </row>
    <row r="15" spans="1:11">
      <c r="A15" s="1374" t="s">
        <v>178</v>
      </c>
      <c r="B15" s="1319">
        <v>62364.35</v>
      </c>
      <c r="C15" s="1319">
        <v>59196.009999999995</v>
      </c>
      <c r="D15" s="1331">
        <v>56027.66</v>
      </c>
      <c r="E15" s="1332">
        <v>66449.533889340004</v>
      </c>
      <c r="F15" s="1319"/>
      <c r="G15" s="1331"/>
      <c r="H15" s="1323">
        <v>0</v>
      </c>
      <c r="I15" s="1321"/>
      <c r="J15" s="1319"/>
      <c r="K15" s="1331"/>
    </row>
    <row r="16" spans="1:11">
      <c r="A16" s="1374" t="s">
        <v>179</v>
      </c>
      <c r="B16" s="1319"/>
      <c r="C16" s="1319"/>
      <c r="D16" s="1331"/>
      <c r="E16" s="260"/>
      <c r="F16" s="258"/>
      <c r="G16" s="259"/>
      <c r="H16" s="1323"/>
      <c r="I16" s="262"/>
      <c r="J16" s="258"/>
      <c r="K16" s="259"/>
    </row>
    <row r="17" spans="1:12">
      <c r="A17" s="1374" t="s">
        <v>180</v>
      </c>
      <c r="B17" s="1319"/>
      <c r="C17" s="1319">
        <v>42174306</v>
      </c>
      <c r="D17" s="1331">
        <v>42174306</v>
      </c>
      <c r="E17" s="1332"/>
      <c r="F17" s="1319">
        <v>42174306</v>
      </c>
      <c r="G17" s="1331">
        <v>42174306</v>
      </c>
      <c r="H17" s="1323">
        <v>42174306</v>
      </c>
      <c r="I17" s="1321">
        <v>42174306</v>
      </c>
      <c r="J17" s="1319">
        <v>42174306</v>
      </c>
      <c r="K17" s="1331">
        <v>42174306</v>
      </c>
    </row>
    <row r="18" spans="1:12">
      <c r="A18" s="1374" t="s">
        <v>181</v>
      </c>
      <c r="B18" s="1319"/>
      <c r="C18" s="1319"/>
      <c r="D18" s="1331"/>
      <c r="E18" s="1332"/>
      <c r="F18" s="1319"/>
      <c r="G18" s="1331"/>
      <c r="H18" s="1323"/>
      <c r="I18" s="1321"/>
      <c r="J18" s="1319"/>
      <c r="K18" s="1331"/>
    </row>
    <row r="19" spans="1:12">
      <c r="A19" s="1374" t="s">
        <v>182</v>
      </c>
      <c r="B19" s="1327">
        <f>[2]SA3!C26</f>
        <v>17580073</v>
      </c>
      <c r="C19" s="1327">
        <f>[2]SA3!D26</f>
        <v>302844419.01999998</v>
      </c>
      <c r="D19" s="1223">
        <f>[2]SA3!E26</f>
        <v>310080249.69000006</v>
      </c>
      <c r="E19" s="1326">
        <f>[2]SA3!F26</f>
        <v>69986000</v>
      </c>
      <c r="F19" s="1327">
        <f>[2]SA3!G26</f>
        <v>334572599.69000006</v>
      </c>
      <c r="G19" s="1325">
        <f>[2]SA3!H26</f>
        <v>334572599.69000006</v>
      </c>
      <c r="H19" s="1329">
        <f>[2]SA3!I26</f>
        <v>334572599.69000006</v>
      </c>
      <c r="I19" s="1330">
        <f>[2]SA3!J26</f>
        <v>369258658.69000006</v>
      </c>
      <c r="J19" s="1327">
        <f>[2]SA3!K26</f>
        <v>391933808.69000006</v>
      </c>
      <c r="K19" s="1325">
        <f>[2]SA3!L26</f>
        <v>409513808.69000006</v>
      </c>
    </row>
    <row r="20" spans="1:12">
      <c r="A20" s="1374" t="s">
        <v>183</v>
      </c>
      <c r="B20" s="1319"/>
      <c r="C20" s="1319"/>
      <c r="D20" s="1331"/>
      <c r="E20" s="1332"/>
      <c r="F20" s="1319"/>
      <c r="G20" s="1331"/>
      <c r="H20" s="1323"/>
      <c r="I20" s="1321"/>
      <c r="J20" s="1319"/>
      <c r="K20" s="1331"/>
    </row>
    <row r="21" spans="1:12">
      <c r="A21" s="1374" t="s">
        <v>184</v>
      </c>
      <c r="B21" s="1319"/>
      <c r="C21" s="1319"/>
      <c r="D21" s="1331"/>
      <c r="E21" s="1332"/>
      <c r="F21" s="1319"/>
      <c r="G21" s="1331"/>
      <c r="H21" s="1323"/>
      <c r="I21" s="1321"/>
      <c r="J21" s="1319"/>
      <c r="K21" s="1331"/>
    </row>
    <row r="22" spans="1:12">
      <c r="A22" s="1374" t="s">
        <v>185</v>
      </c>
      <c r="B22" s="1319"/>
      <c r="C22" s="1319">
        <v>536856.4</v>
      </c>
      <c r="D22" s="1331">
        <v>1448260.8699999996</v>
      </c>
      <c r="E22" s="1332"/>
      <c r="F22" s="1319">
        <v>1448260.8699999996</v>
      </c>
      <c r="G22" s="1331">
        <v>1448260.8699999996</v>
      </c>
      <c r="H22" s="1323">
        <v>1448260.8699999996</v>
      </c>
      <c r="I22" s="1321">
        <v>1448260.8699999996</v>
      </c>
      <c r="J22" s="1319">
        <v>1448260.8699999996</v>
      </c>
      <c r="K22" s="1331">
        <v>1448260.8699999996</v>
      </c>
    </row>
    <row r="23" spans="1:12">
      <c r="A23" s="1374" t="s">
        <v>186</v>
      </c>
      <c r="B23" s="1319"/>
      <c r="C23" s="1319"/>
      <c r="D23" s="1331"/>
      <c r="E23" s="260"/>
      <c r="F23" s="258">
        <v>59389.68</v>
      </c>
      <c r="G23" s="259">
        <v>59389.68</v>
      </c>
      <c r="H23" s="1323">
        <v>59389.68</v>
      </c>
      <c r="I23" s="262">
        <v>62359.164000000004</v>
      </c>
      <c r="J23" s="262">
        <v>65539.481364000007</v>
      </c>
      <c r="K23" s="262">
        <v>68947.534394928007</v>
      </c>
    </row>
    <row r="24" spans="1:12">
      <c r="A24" s="1375" t="s">
        <v>43</v>
      </c>
      <c r="B24" s="1381">
        <f>SUM(B15:B23)</f>
        <v>17642437.350000001</v>
      </c>
      <c r="C24" s="1340">
        <f>SUM(C15:C23)</f>
        <v>345614777.42999995</v>
      </c>
      <c r="D24" s="1341">
        <f t="shared" ref="D24:K24" si="1">SUM(D15:D23)</f>
        <v>353758844.22000003</v>
      </c>
      <c r="E24" s="1342">
        <f t="shared" si="1"/>
        <v>70052449.533889338</v>
      </c>
      <c r="F24" s="1340">
        <f t="shared" si="1"/>
        <v>378254556.24000007</v>
      </c>
      <c r="G24" s="1341">
        <f t="shared" si="1"/>
        <v>378254556.24000007</v>
      </c>
      <c r="H24" s="1382">
        <f t="shared" si="1"/>
        <v>378254556.24000007</v>
      </c>
      <c r="I24" s="1343">
        <f t="shared" si="1"/>
        <v>412943584.72400004</v>
      </c>
      <c r="J24" s="1340">
        <f t="shared" si="1"/>
        <v>435621915.04136407</v>
      </c>
      <c r="K24" s="1341">
        <f t="shared" si="1"/>
        <v>453205323.09439498</v>
      </c>
    </row>
    <row r="25" spans="1:12">
      <c r="A25" s="1375" t="s">
        <v>187</v>
      </c>
      <c r="B25" s="1376">
        <f>B12+B24</f>
        <v>59764227.570000008</v>
      </c>
      <c r="C25" s="1376">
        <f>C12+C24</f>
        <v>391571566.98999995</v>
      </c>
      <c r="D25" s="1377">
        <f>D12+D24</f>
        <v>404587097.96000004</v>
      </c>
      <c r="E25" s="1378">
        <f t="shared" ref="E25:K25" si="2">E12+E24</f>
        <v>118044929.85564862</v>
      </c>
      <c r="F25" s="1376">
        <f t="shared" si="2"/>
        <v>439081077.07523334</v>
      </c>
      <c r="G25" s="1377">
        <f t="shared" si="2"/>
        <v>439081077.07523334</v>
      </c>
      <c r="H25" s="1383">
        <f t="shared" si="2"/>
        <v>439081077.07523334</v>
      </c>
      <c r="I25" s="1379">
        <f t="shared" si="2"/>
        <v>476218460.20388287</v>
      </c>
      <c r="J25" s="1376">
        <f t="shared" si="2"/>
        <v>506345209.52876318</v>
      </c>
      <c r="K25" s="1377">
        <f t="shared" si="2"/>
        <v>534392858.5703795</v>
      </c>
    </row>
    <row r="26" spans="1:12">
      <c r="A26" s="1380"/>
      <c r="B26" s="1327"/>
      <c r="C26" s="1327"/>
      <c r="D26" s="1325"/>
      <c r="E26" s="1326"/>
      <c r="F26" s="1327"/>
      <c r="G26" s="1325"/>
      <c r="H26" s="1329"/>
      <c r="I26" s="1330"/>
      <c r="J26" s="1327"/>
      <c r="K26" s="1325"/>
    </row>
    <row r="27" spans="1:12">
      <c r="A27" s="1368" t="s">
        <v>188</v>
      </c>
      <c r="B27" s="1327"/>
      <c r="C27" s="1327"/>
      <c r="D27" s="1325"/>
      <c r="E27" s="1326"/>
      <c r="F27" s="1327"/>
      <c r="G27" s="1325"/>
      <c r="H27" s="1329"/>
      <c r="I27" s="1330"/>
      <c r="J27" s="1327"/>
      <c r="K27" s="1325"/>
    </row>
    <row r="28" spans="1:12">
      <c r="A28" s="1368" t="s">
        <v>189</v>
      </c>
      <c r="B28" s="1327"/>
      <c r="C28" s="1327"/>
      <c r="D28" s="1325"/>
      <c r="E28" s="1326"/>
      <c r="F28" s="1327"/>
      <c r="G28" s="1325"/>
      <c r="H28" s="1329"/>
      <c r="I28" s="1330"/>
      <c r="J28" s="1327"/>
      <c r="K28" s="1325"/>
    </row>
    <row r="29" spans="1:12">
      <c r="A29" s="1374" t="s">
        <v>190</v>
      </c>
      <c r="B29" s="1319">
        <v>1286236.19</v>
      </c>
      <c r="C29" s="1319">
        <v>1121400.8299999773</v>
      </c>
      <c r="D29" s="1331">
        <v>391024.67</v>
      </c>
      <c r="E29" s="1332"/>
      <c r="F29" s="1319"/>
      <c r="G29" s="1331"/>
      <c r="H29" s="1323"/>
      <c r="I29" s="1321"/>
      <c r="J29" s="1319"/>
      <c r="K29" s="1331"/>
    </row>
    <row r="30" spans="1:12">
      <c r="A30" s="1374" t="s">
        <v>38</v>
      </c>
      <c r="B30" s="1327">
        <f>[2]SA3!C32</f>
        <v>650709</v>
      </c>
      <c r="C30" s="1327">
        <f>[2]SA3!D32</f>
        <v>1673532</v>
      </c>
      <c r="D30" s="1223">
        <f>[2]SA3!E32</f>
        <v>5399314</v>
      </c>
      <c r="E30" s="1326">
        <f>[2]SA3!F32</f>
        <v>1534260.5391654661</v>
      </c>
      <c r="F30" s="1327">
        <f>[2]SA3!G32</f>
        <v>3779708.4137005298</v>
      </c>
      <c r="G30" s="1325">
        <f>[2]SA3!H32</f>
        <v>3779708.4137005298</v>
      </c>
      <c r="H30" s="1329">
        <f>[2]SA3!I32</f>
        <v>3779708.4137005298</v>
      </c>
      <c r="I30" s="1330">
        <f>[2]SA3!J32</f>
        <v>3259622.3105581999</v>
      </c>
      <c r="J30" s="1327">
        <f>[2]SA3!K32</f>
        <v>2870660.2606770014</v>
      </c>
      <c r="K30" s="1325">
        <f>[2]SA3!L32</f>
        <v>2587917.9592804327</v>
      </c>
    </row>
    <row r="31" spans="1:12">
      <c r="A31" s="1374" t="s">
        <v>191</v>
      </c>
      <c r="B31" s="1319">
        <v>215267</v>
      </c>
      <c r="C31" s="1319">
        <v>209276.75</v>
      </c>
      <c r="D31" s="1331">
        <v>210909.67</v>
      </c>
      <c r="E31" s="1332">
        <v>233814.23966074997</v>
      </c>
      <c r="F31" s="1319">
        <v>223564.6</v>
      </c>
      <c r="G31" s="1331">
        <v>223564.6</v>
      </c>
      <c r="H31" s="1323">
        <v>223564.6</v>
      </c>
      <c r="I31" s="1323">
        <v>234742.83000000002</v>
      </c>
      <c r="J31" s="1323">
        <v>246714.71432999999</v>
      </c>
      <c r="K31" s="1323">
        <v>259543.87947516001</v>
      </c>
      <c r="L31" s="1126"/>
    </row>
    <row r="32" spans="1:12">
      <c r="A32" s="1374" t="s">
        <v>192</v>
      </c>
      <c r="B32" s="1327">
        <f>[2]SA3!C38</f>
        <v>61737501.429999992</v>
      </c>
      <c r="C32" s="1327">
        <f>[2]SA3!D38</f>
        <v>40043940.710000001</v>
      </c>
      <c r="D32" s="1223">
        <f>[2]SA3!E38</f>
        <v>38519631.230000004</v>
      </c>
      <c r="E32" s="1224">
        <f>[2]SA3!F38</f>
        <v>44786665.296378344</v>
      </c>
      <c r="F32" s="1327">
        <f>[2]SA3!G38</f>
        <v>41312504.062464625</v>
      </c>
      <c r="G32" s="1325">
        <f>[2]SA3!H38</f>
        <v>41312504.062464625</v>
      </c>
      <c r="H32" s="1329">
        <f>[2]SA3!I38</f>
        <v>41312504.062464625</v>
      </c>
      <c r="I32" s="1330">
        <f>[2]SA3!J38</f>
        <v>43048218.954459086</v>
      </c>
      <c r="J32" s="1327">
        <f>[2]SA3!K38</f>
        <v>44898702.877554752</v>
      </c>
      <c r="K32" s="1325">
        <f>[2]SA3!L38</f>
        <v>46895847.8105326</v>
      </c>
      <c r="L32" s="1126"/>
    </row>
    <row r="33" spans="1:14">
      <c r="A33" s="1374" t="s">
        <v>193</v>
      </c>
      <c r="B33" s="1319">
        <v>3243083.5599999996</v>
      </c>
      <c r="C33" s="1319">
        <v>20945726.800000001</v>
      </c>
      <c r="D33" s="1331">
        <v>2522393</v>
      </c>
      <c r="E33" s="1332">
        <v>23991603.670358013</v>
      </c>
      <c r="F33" s="1319">
        <v>3050495.2939999998</v>
      </c>
      <c r="G33" s="1331">
        <v>3050495.2939999998</v>
      </c>
      <c r="H33" s="1323">
        <v>3050495.2939999998</v>
      </c>
      <c r="I33" s="1323">
        <f>3276231.945756+292900</f>
        <v>3569131.945756</v>
      </c>
      <c r="J33" s="1323">
        <f>3512120.64585043+738000+481.4</f>
        <v>4250602.0458504297</v>
      </c>
      <c r="K33" s="1323">
        <f>3764993.33235166+750000</f>
        <v>4514993.3323516604</v>
      </c>
      <c r="L33" s="1126"/>
    </row>
    <row r="34" spans="1:14">
      <c r="A34" s="1375" t="s">
        <v>44</v>
      </c>
      <c r="B34" s="1376">
        <f t="shared" ref="B34:K34" si="3">SUM(B29:B33)</f>
        <v>67132797.179999992</v>
      </c>
      <c r="C34" s="1376">
        <f t="shared" si="3"/>
        <v>63993877.089999974</v>
      </c>
      <c r="D34" s="1377">
        <f t="shared" si="3"/>
        <v>47043272.570000008</v>
      </c>
      <c r="E34" s="1378">
        <f t="shared" si="3"/>
        <v>70546343.745562568</v>
      </c>
      <c r="F34" s="1376">
        <f t="shared" si="3"/>
        <v>48366272.370165154</v>
      </c>
      <c r="G34" s="1377">
        <f t="shared" si="3"/>
        <v>48366272.370165154</v>
      </c>
      <c r="H34" s="1383">
        <f t="shared" si="3"/>
        <v>48366272.370165154</v>
      </c>
      <c r="I34" s="1379">
        <f>SUM(I29:I33)</f>
        <v>50111716.040773287</v>
      </c>
      <c r="J34" s="1376">
        <f t="shared" si="3"/>
        <v>52266679.898412183</v>
      </c>
      <c r="K34" s="1377">
        <f t="shared" si="3"/>
        <v>54258302.981639855</v>
      </c>
      <c r="L34" s="1126"/>
    </row>
    <row r="35" spans="1:14">
      <c r="A35" s="1380"/>
      <c r="B35" s="1327"/>
      <c r="C35" s="1327"/>
      <c r="D35" s="1325"/>
      <c r="E35" s="1326"/>
      <c r="F35" s="1327"/>
      <c r="G35" s="1325"/>
      <c r="H35" s="1329"/>
      <c r="I35" s="1330"/>
      <c r="J35" s="1327"/>
      <c r="K35" s="1325"/>
      <c r="L35" s="1126"/>
    </row>
    <row r="36" spans="1:14">
      <c r="A36" s="1368" t="s">
        <v>194</v>
      </c>
      <c r="B36" s="1327"/>
      <c r="C36" s="1327"/>
      <c r="D36" s="1325"/>
      <c r="E36" s="1326"/>
      <c r="F36" s="1327"/>
      <c r="G36" s="1325"/>
      <c r="H36" s="1329"/>
      <c r="I36" s="1330"/>
      <c r="J36" s="1327"/>
      <c r="K36" s="1325"/>
      <c r="L36" s="1126"/>
    </row>
    <row r="37" spans="1:14">
      <c r="A37" s="1374" t="s">
        <v>38</v>
      </c>
      <c r="B37" s="1327">
        <f>[2]SA3!C43</f>
        <v>3655541.9900000007</v>
      </c>
      <c r="C37" s="1327">
        <f>[2]SA3!D43</f>
        <v>4460893.72</v>
      </c>
      <c r="D37" s="1223">
        <f>[2]SA3!E43</f>
        <v>7220698.21</v>
      </c>
      <c r="E37" s="1326">
        <f>[2]SA3!F43</f>
        <v>4089657.9265004164</v>
      </c>
      <c r="F37" s="1327">
        <f>[2]SA3!G43</f>
        <v>10258285.58629947</v>
      </c>
      <c r="G37" s="1325">
        <f>[2]SA3!H43</f>
        <v>10258285.58629947</v>
      </c>
      <c r="H37" s="1329">
        <f>[2]SA3!I43</f>
        <v>10258285.58629947</v>
      </c>
      <c r="I37" s="1330">
        <f>[2]SA3!J43</f>
        <v>8887460.2757412698</v>
      </c>
      <c r="J37" s="1327">
        <f>[2]SA3!K43</f>
        <v>7620597.0150642684</v>
      </c>
      <c r="K37" s="1325">
        <f>[2]SA3!L43</f>
        <v>6636476.0557838362</v>
      </c>
      <c r="L37" s="1126"/>
    </row>
    <row r="38" spans="1:14">
      <c r="A38" s="1374" t="s">
        <v>193</v>
      </c>
      <c r="B38" s="1327">
        <f>[2]SA3!C50</f>
        <v>3450000</v>
      </c>
      <c r="C38" s="1327">
        <f>[2]SA3!D50</f>
        <v>4328627</v>
      </c>
      <c r="D38" s="1223">
        <f>[2]SA3!E50</f>
        <v>4674919</v>
      </c>
      <c r="E38" s="1326">
        <f>[2]SA3!F50</f>
        <v>5061958.7460288005</v>
      </c>
      <c r="F38" s="1327">
        <f>[2]SA3!G50</f>
        <v>5039562.6819999991</v>
      </c>
      <c r="G38" s="1325">
        <f>[2]SA3!H50</f>
        <v>5039562.6819999991</v>
      </c>
      <c r="H38" s="1329">
        <f>[2]SA3!I50</f>
        <v>5039562.6819999991</v>
      </c>
      <c r="I38" s="1330">
        <f>[2]SA3!J50</f>
        <v>5412490.3204679983</v>
      </c>
      <c r="J38" s="1327">
        <f>[2]SA3!K50</f>
        <v>5802189.6235416932</v>
      </c>
      <c r="K38" s="1325">
        <f>[2]SA3!L50</f>
        <v>6219947.276436694</v>
      </c>
      <c r="L38" s="1126"/>
    </row>
    <row r="39" spans="1:14">
      <c r="A39" s="1375" t="s">
        <v>45</v>
      </c>
      <c r="B39" s="1381">
        <f>SUM(B37:B38)</f>
        <v>7105541.9900000002</v>
      </c>
      <c r="C39" s="1340">
        <f>SUM(C37:C38)</f>
        <v>8789520.7199999988</v>
      </c>
      <c r="D39" s="1341">
        <f>SUM(D37:D38)</f>
        <v>11895617.210000001</v>
      </c>
      <c r="E39" s="1342">
        <f t="shared" ref="E39:K39" si="4">SUM(E37:E38)</f>
        <v>9151616.6725292169</v>
      </c>
      <c r="F39" s="1340">
        <f t="shared" si="4"/>
        <v>15297848.268299468</v>
      </c>
      <c r="G39" s="1341">
        <f t="shared" si="4"/>
        <v>15297848.268299468</v>
      </c>
      <c r="H39" s="1342">
        <f t="shared" si="4"/>
        <v>15297848.268299468</v>
      </c>
      <c r="I39" s="1343">
        <f t="shared" si="4"/>
        <v>14299950.596209269</v>
      </c>
      <c r="J39" s="1340">
        <f>SUM(J37:J38)</f>
        <v>13422786.638605962</v>
      </c>
      <c r="K39" s="1341">
        <f t="shared" si="4"/>
        <v>12856423.33222053</v>
      </c>
    </row>
    <row r="40" spans="1:14">
      <c r="A40" s="1375" t="s">
        <v>195</v>
      </c>
      <c r="B40" s="1376">
        <f>B34+B39</f>
        <v>74238339.169999987</v>
      </c>
      <c r="C40" s="1376">
        <f>C34+C39</f>
        <v>72783397.809999973</v>
      </c>
      <c r="D40" s="1377">
        <f>D34+D39</f>
        <v>58938889.780000009</v>
      </c>
      <c r="E40" s="1378">
        <f t="shared" ref="E40:K40" si="5">E34+E39</f>
        <v>79697960.418091789</v>
      </c>
      <c r="F40" s="1376">
        <f t="shared" si="5"/>
        <v>63664120.638464622</v>
      </c>
      <c r="G40" s="1377">
        <f t="shared" si="5"/>
        <v>63664120.638464622</v>
      </c>
      <c r="H40" s="1383">
        <f t="shared" si="5"/>
        <v>63664120.638464622</v>
      </c>
      <c r="I40" s="1379">
        <f t="shared" si="5"/>
        <v>64411666.63698256</v>
      </c>
      <c r="J40" s="1376">
        <f>J34+J39</f>
        <v>65689466.537018143</v>
      </c>
      <c r="K40" s="1377">
        <f t="shared" si="5"/>
        <v>67114726.313860387</v>
      </c>
    </row>
    <row r="41" spans="1:14" s="1164" customFormat="1">
      <c r="A41" s="1380"/>
      <c r="B41" s="1327"/>
      <c r="C41" s="1327"/>
      <c r="D41" s="1325"/>
      <c r="E41" s="1326"/>
      <c r="F41" s="1327"/>
      <c r="G41" s="1325"/>
      <c r="H41" s="1329"/>
      <c r="I41" s="1330"/>
      <c r="J41" s="1327"/>
      <c r="K41" s="1325"/>
      <c r="N41" s="1104"/>
    </row>
    <row r="42" spans="1:14">
      <c r="A42" s="1384" t="s">
        <v>196</v>
      </c>
      <c r="B42" s="1228">
        <f t="shared" ref="B42:K42" si="6">B25-B40</f>
        <v>-14474111.599999979</v>
      </c>
      <c r="C42" s="1228">
        <f t="shared" si="6"/>
        <v>318788169.17999995</v>
      </c>
      <c r="D42" s="1229">
        <f t="shared" si="6"/>
        <v>345648208.18000001</v>
      </c>
      <c r="E42" s="1230">
        <f t="shared" si="6"/>
        <v>38346969.437556833</v>
      </c>
      <c r="F42" s="1228">
        <f t="shared" si="6"/>
        <v>375416956.43676871</v>
      </c>
      <c r="G42" s="1229">
        <f t="shared" si="6"/>
        <v>375416956.43676871</v>
      </c>
      <c r="H42" s="1231">
        <f t="shared" si="6"/>
        <v>375416956.43676871</v>
      </c>
      <c r="I42" s="1232">
        <f t="shared" si="6"/>
        <v>411806793.56690031</v>
      </c>
      <c r="J42" s="1228">
        <f t="shared" si="6"/>
        <v>440655742.99174505</v>
      </c>
      <c r="K42" s="1229">
        <f t="shared" si="6"/>
        <v>467278132.25651908</v>
      </c>
    </row>
    <row r="43" spans="1:14">
      <c r="A43" s="1380"/>
      <c r="B43" s="1327"/>
      <c r="C43" s="1327"/>
      <c r="D43" s="1325"/>
      <c r="E43" s="1326"/>
      <c r="F43" s="1327"/>
      <c r="G43" s="1325"/>
      <c r="H43" s="1329"/>
      <c r="I43" s="1330"/>
      <c r="J43" s="1327"/>
      <c r="K43" s="1325"/>
    </row>
    <row r="44" spans="1:14">
      <c r="A44" s="1385" t="s">
        <v>197</v>
      </c>
      <c r="B44" s="1327"/>
      <c r="C44" s="1327"/>
      <c r="D44" s="1325"/>
      <c r="E44" s="1326"/>
      <c r="F44" s="1327"/>
      <c r="G44" s="1325"/>
      <c r="H44" s="1329"/>
      <c r="I44" s="1330"/>
      <c r="J44" s="1327"/>
      <c r="K44" s="1325"/>
    </row>
    <row r="45" spans="1:14">
      <c r="A45" s="1374" t="s">
        <v>198</v>
      </c>
      <c r="B45" s="1319">
        <v>-14474111.299999997</v>
      </c>
      <c r="C45" s="1319">
        <v>318788169.19</v>
      </c>
      <c r="D45" s="1331">
        <v>345648208.59000003</v>
      </c>
      <c r="E45" s="1332">
        <v>38346688.768193841</v>
      </c>
      <c r="F45" s="1319">
        <v>375416956.43676871</v>
      </c>
      <c r="G45" s="1331">
        <v>375416956.43676871</v>
      </c>
      <c r="H45" s="1323">
        <v>375416956.43676871</v>
      </c>
      <c r="I45" s="1321">
        <v>411806793.56690031</v>
      </c>
      <c r="J45" s="1321">
        <v>440655742.99174505</v>
      </c>
      <c r="K45" s="1321">
        <v>467278132.25651908</v>
      </c>
    </row>
    <row r="46" spans="1:14">
      <c r="A46" s="1374" t="s">
        <v>199</v>
      </c>
      <c r="B46" s="1327">
        <f>[2]SA3!C69</f>
        <v>0</v>
      </c>
      <c r="C46" s="1327">
        <f>[2]SA3!D69</f>
        <v>0</v>
      </c>
      <c r="D46" s="1223">
        <f>[2]SA3!E69</f>
        <v>0</v>
      </c>
      <c r="E46" s="1224">
        <f>[2]SA3!F69</f>
        <v>0</v>
      </c>
      <c r="F46" s="1327">
        <f>[2]SA3!G69</f>
        <v>0</v>
      </c>
      <c r="G46" s="1325">
        <f>[2]SA3!H69</f>
        <v>0</v>
      </c>
      <c r="H46" s="1329">
        <f>[2]SA3!I69</f>
        <v>0</v>
      </c>
      <c r="I46" s="1330">
        <f>[2]SA3!J69</f>
        <v>0</v>
      </c>
      <c r="J46" s="1327">
        <f>[2]SA3!K69</f>
        <v>0</v>
      </c>
      <c r="K46" s="1325">
        <f>[2]SA3!L69</f>
        <v>0</v>
      </c>
    </row>
    <row r="47" spans="1:14">
      <c r="A47" s="1374" t="s">
        <v>200</v>
      </c>
      <c r="B47" s="1319"/>
      <c r="C47" s="1319"/>
      <c r="D47" s="1331"/>
      <c r="E47" s="1332"/>
      <c r="F47" s="1319"/>
      <c r="G47" s="1331"/>
      <c r="H47" s="1323"/>
      <c r="I47" s="1321"/>
      <c r="J47" s="1319"/>
      <c r="K47" s="1331"/>
    </row>
    <row r="48" spans="1:14">
      <c r="A48" s="1386" t="s">
        <v>201</v>
      </c>
      <c r="B48" s="1359">
        <f>SUM(B45:B47)</f>
        <v>-14474111.299999997</v>
      </c>
      <c r="C48" s="1359">
        <f t="shared" ref="C48:K48" si="7">SUM(C45:C47)</f>
        <v>318788169.19</v>
      </c>
      <c r="D48" s="1362">
        <f t="shared" si="7"/>
        <v>345648208.59000003</v>
      </c>
      <c r="E48" s="1363">
        <f t="shared" si="7"/>
        <v>38346688.768193841</v>
      </c>
      <c r="F48" s="1359">
        <f t="shared" si="7"/>
        <v>375416956.43676871</v>
      </c>
      <c r="G48" s="1362">
        <f t="shared" si="7"/>
        <v>375416956.43676871</v>
      </c>
      <c r="H48" s="1387">
        <f t="shared" si="7"/>
        <v>375416956.43676871</v>
      </c>
      <c r="I48" s="1364">
        <f t="shared" si="7"/>
        <v>411806793.56690031</v>
      </c>
      <c r="J48" s="1359">
        <f t="shared" si="7"/>
        <v>440655742.99174505</v>
      </c>
      <c r="K48" s="1362">
        <f t="shared" si="7"/>
        <v>467278132.25651908</v>
      </c>
    </row>
  </sheetData>
  <mergeCells count="2">
    <mergeCell ref="I2:K2"/>
    <mergeCell ref="E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topLeftCell="A27" workbookViewId="0">
      <selection activeCell="A39" sqref="A39:XFD49"/>
    </sheetView>
  </sheetViews>
  <sheetFormatPr defaultRowHeight="12.75"/>
  <cols>
    <col min="1" max="1" width="30.7109375" style="1104" customWidth="1"/>
    <col min="2" max="7" width="9.28515625" style="1104" customWidth="1"/>
    <col min="8" max="8" width="9.140625" style="1104" customWidth="1"/>
    <col min="9" max="11" width="9.28515625" style="1104" customWidth="1"/>
    <col min="12" max="12" width="9.85546875" style="1104" customWidth="1"/>
    <col min="13" max="13" width="9.5703125" style="1104" customWidth="1"/>
    <col min="14" max="14" width="9.85546875" style="1104" customWidth="1"/>
    <col min="15" max="17" width="9.5703125" style="1104" customWidth="1"/>
    <col min="18" max="18" width="9.85546875" style="1104" customWidth="1"/>
    <col min="19" max="21" width="9.5703125" style="1104" customWidth="1"/>
    <col min="22" max="23" width="9.85546875" style="1104" customWidth="1"/>
    <col min="24" max="16384" width="9.140625" style="1104"/>
  </cols>
  <sheetData>
    <row r="1" spans="1:11" s="1236" customFormat="1">
      <c r="A1" s="1188" t="str">
        <f>muni&amp;" - "&amp;Approve7</f>
        <v>EC106 Sundays River Valley - Table A7 Budgeted Cash Flows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</row>
    <row r="2" spans="1:11">
      <c r="A2" s="1190" t="str">
        <f>desc</f>
        <v>Description</v>
      </c>
      <c r="B2" s="1106" t="str">
        <f>head1b</f>
        <v>2008/9</v>
      </c>
      <c r="C2" s="1106" t="str">
        <f>head1A</f>
        <v>2009/10</v>
      </c>
      <c r="D2" s="1108" t="str">
        <f>Head1</f>
        <v>2010/11</v>
      </c>
      <c r="E2" s="1404" t="str">
        <f>Head2</f>
        <v>Current Year 2011/12</v>
      </c>
      <c r="F2" s="1405"/>
      <c r="G2" s="1405"/>
      <c r="H2" s="1405"/>
      <c r="I2" s="1401" t="str">
        <f>Head3</f>
        <v>2012/13 Medium Term Revenue &amp; Expenditure Framework</v>
      </c>
      <c r="J2" s="1402"/>
      <c r="K2" s="1403"/>
    </row>
    <row r="3" spans="1:11" ht="25.5">
      <c r="A3" s="1192" t="s">
        <v>68</v>
      </c>
      <c r="B3" s="1111" t="str">
        <f>Head5</f>
        <v>Audited Outcome</v>
      </c>
      <c r="C3" s="1111" t="str">
        <f>Head5</f>
        <v>Audited Outcome</v>
      </c>
      <c r="D3" s="1112" t="str">
        <f>Head5</f>
        <v>Audited Outcome</v>
      </c>
      <c r="E3" s="1110" t="str">
        <f>Head6</f>
        <v>Original Budget</v>
      </c>
      <c r="F3" s="1111" t="str">
        <f>Head7</f>
        <v>Adjusted Budget</v>
      </c>
      <c r="G3" s="1112" t="str">
        <f>Head8</f>
        <v>Full Year Forecast</v>
      </c>
      <c r="H3" s="1113" t="str">
        <f>Head5b</f>
        <v>Pre-audit outcome</v>
      </c>
      <c r="I3" s="1110" t="str">
        <f>Head9</f>
        <v>Budget Year 2012/13</v>
      </c>
      <c r="J3" s="1111" t="str">
        <f>Head10</f>
        <v>Budget Year +1 2013/14</v>
      </c>
      <c r="K3" s="1112" t="str">
        <f>Head11</f>
        <v>Budget Year +2 2014/15</v>
      </c>
    </row>
    <row r="4" spans="1:11">
      <c r="A4" s="1368" t="s">
        <v>202</v>
      </c>
      <c r="B4" s="1369"/>
      <c r="C4" s="1369"/>
      <c r="D4" s="1370"/>
      <c r="E4" s="1371"/>
      <c r="F4" s="1369"/>
      <c r="G4" s="1370"/>
      <c r="H4" s="1372"/>
      <c r="I4" s="1373"/>
      <c r="J4" s="1369"/>
      <c r="K4" s="1370"/>
    </row>
    <row r="5" spans="1:11">
      <c r="A5" s="1385" t="s">
        <v>203</v>
      </c>
      <c r="B5" s="1327"/>
      <c r="C5" s="1327"/>
      <c r="D5" s="1325"/>
      <c r="E5" s="1326"/>
      <c r="F5" s="1327"/>
      <c r="G5" s="1325"/>
      <c r="H5" s="1329"/>
      <c r="I5" s="1330"/>
      <c r="J5" s="1327"/>
      <c r="K5" s="1325"/>
    </row>
    <row r="6" spans="1:11">
      <c r="A6" s="1392" t="s">
        <v>204</v>
      </c>
      <c r="B6" s="1319">
        <v>9177981.5</v>
      </c>
      <c r="C6" s="1319">
        <v>17799117.909999989</v>
      </c>
      <c r="D6" s="1331">
        <v>14286729.990000017</v>
      </c>
      <c r="E6" s="1332">
        <v>39159886.039904878</v>
      </c>
      <c r="F6" s="1319">
        <v>59596989</v>
      </c>
      <c r="G6" s="1331">
        <v>59596989</v>
      </c>
      <c r="H6" s="1323">
        <v>59596989</v>
      </c>
      <c r="I6" s="1321">
        <v>46755833.451948509</v>
      </c>
      <c r="J6" s="1321">
        <v>52088683.811323479</v>
      </c>
      <c r="K6" s="1321">
        <v>63733922.07398513</v>
      </c>
    </row>
    <row r="7" spans="1:11">
      <c r="A7" s="1392" t="s">
        <v>205</v>
      </c>
      <c r="B7" s="1319"/>
      <c r="C7" s="1319"/>
      <c r="D7" s="1331"/>
      <c r="E7" s="1332">
        <v>36283151</v>
      </c>
      <c r="F7" s="1319">
        <v>36658000</v>
      </c>
      <c r="G7" s="1331">
        <v>36658000</v>
      </c>
      <c r="H7" s="1323">
        <v>36658000</v>
      </c>
      <c r="I7" s="1321">
        <v>43009880.060000002</v>
      </c>
      <c r="J7" s="1321">
        <v>45170080.88318</v>
      </c>
      <c r="K7" s="1321">
        <v>48801453</v>
      </c>
    </row>
    <row r="8" spans="1:11">
      <c r="A8" s="1392" t="s">
        <v>206</v>
      </c>
      <c r="B8" s="1319"/>
      <c r="C8" s="1319"/>
      <c r="D8" s="1331"/>
      <c r="E8" s="1332">
        <v>18529000</v>
      </c>
      <c r="F8" s="1319">
        <v>34529300</v>
      </c>
      <c r="G8" s="1319">
        <v>34529300</v>
      </c>
      <c r="H8" s="1323">
        <v>34537300</v>
      </c>
      <c r="I8" s="1321">
        <v>39476050</v>
      </c>
      <c r="J8" s="1321">
        <v>30175150</v>
      </c>
      <c r="K8" s="1321">
        <v>25080000</v>
      </c>
    </row>
    <row r="9" spans="1:11">
      <c r="A9" s="1392" t="s">
        <v>207</v>
      </c>
      <c r="B9" s="1319">
        <v>5214470</v>
      </c>
      <c r="C9" s="1319">
        <v>3591032.3500000006</v>
      </c>
      <c r="D9" s="1331">
        <v>5431459</v>
      </c>
      <c r="E9" s="1332">
        <v>2059883.5569918558</v>
      </c>
      <c r="F9" s="1319">
        <v>2059883.5569918558</v>
      </c>
      <c r="G9" s="1331">
        <v>2059883.5569918558</v>
      </c>
      <c r="H9" s="1323">
        <v>2059883.5569918558</v>
      </c>
      <c r="I9" s="1321">
        <v>2244332.5565466578</v>
      </c>
      <c r="J9" s="1321">
        <v>2426454.7229542299</v>
      </c>
      <c r="K9" s="1321">
        <v>2536621.6757028047</v>
      </c>
    </row>
    <row r="10" spans="1:11">
      <c r="A10" s="1392" t="s">
        <v>208</v>
      </c>
      <c r="B10" s="1319"/>
      <c r="C10" s="1319"/>
      <c r="D10" s="1331"/>
      <c r="E10" s="1332"/>
      <c r="F10" s="1319"/>
      <c r="G10" s="1331"/>
      <c r="H10" s="1323"/>
      <c r="I10" s="1321"/>
      <c r="J10" s="1319"/>
      <c r="K10" s="1331"/>
    </row>
    <row r="11" spans="1:11">
      <c r="A11" s="1385" t="s">
        <v>209</v>
      </c>
      <c r="B11" s="1121"/>
      <c r="C11" s="1327"/>
      <c r="D11" s="1325"/>
      <c r="E11" s="1326"/>
      <c r="F11" s="1327"/>
      <c r="G11" s="1325"/>
      <c r="H11" s="1329"/>
      <c r="I11" s="1330"/>
      <c r="J11" s="1327"/>
      <c r="K11" s="1325"/>
    </row>
    <row r="12" spans="1:11">
      <c r="A12" s="1392" t="s">
        <v>210</v>
      </c>
      <c r="B12" s="1319"/>
      <c r="C12" s="1319"/>
      <c r="D12" s="1331"/>
      <c r="E12" s="1332">
        <v>-73134221</v>
      </c>
      <c r="F12" s="1319">
        <v>-85126148.604766712</v>
      </c>
      <c r="G12" s="1331">
        <v>-85126148.604766712</v>
      </c>
      <c r="H12" s="1323">
        <v>-85126148.604766712</v>
      </c>
      <c r="I12" s="1321">
        <v>-84461949.093504444</v>
      </c>
      <c r="J12" s="1321">
        <v>-90059459.345515281</v>
      </c>
      <c r="K12" s="1321">
        <v>-97201618.17679365</v>
      </c>
    </row>
    <row r="13" spans="1:11">
      <c r="A13" s="1392" t="s">
        <v>25</v>
      </c>
      <c r="B13" s="1319">
        <v>-766669</v>
      </c>
      <c r="C13" s="1319">
        <v>-1252156.5200000003</v>
      </c>
      <c r="D13" s="1331">
        <v>-1330194</v>
      </c>
      <c r="E13" s="1332">
        <v>-824520</v>
      </c>
      <c r="F13" s="1319"/>
      <c r="G13" s="1331"/>
      <c r="H13" s="1323">
        <v>0</v>
      </c>
      <c r="I13" s="1321">
        <v>-723470.86249175994</v>
      </c>
      <c r="J13" s="1321">
        <v>-761814.81820382318</v>
      </c>
      <c r="K13" s="1321">
        <v>-891709.56180771231</v>
      </c>
    </row>
    <row r="14" spans="1:11">
      <c r="A14" s="1392" t="s">
        <v>211</v>
      </c>
      <c r="B14" s="1319"/>
      <c r="C14" s="1319"/>
      <c r="D14" s="1331"/>
      <c r="E14" s="1332"/>
      <c r="F14" s="1319"/>
      <c r="G14" s="1331"/>
      <c r="H14" s="1323"/>
      <c r="I14" s="1321"/>
      <c r="J14" s="1319"/>
      <c r="K14" s="1331"/>
    </row>
    <row r="15" spans="1:11">
      <c r="A15" s="1375" t="s">
        <v>212</v>
      </c>
      <c r="B15" s="1215">
        <f>SUM(B6:B10)+SUM(B12:B14)</f>
        <v>13625782.5</v>
      </c>
      <c r="C15" s="1215">
        <f t="shared" ref="C15:K15" si="0">SUM(C6:C10)+SUM(C12:C14)</f>
        <v>20137993.739999991</v>
      </c>
      <c r="D15" s="1216">
        <f t="shared" si="0"/>
        <v>18387994.990000017</v>
      </c>
      <c r="E15" s="1217">
        <f t="shared" si="0"/>
        <v>22073179.596896738</v>
      </c>
      <c r="F15" s="1215">
        <f t="shared" si="0"/>
        <v>47718023.952225149</v>
      </c>
      <c r="G15" s="1218">
        <f t="shared" si="0"/>
        <v>47718023.952225149</v>
      </c>
      <c r="H15" s="1217">
        <f t="shared" si="0"/>
        <v>47726023.952225149</v>
      </c>
      <c r="I15" s="1219">
        <f t="shared" si="0"/>
        <v>46300676.112498969</v>
      </c>
      <c r="J15" s="1215">
        <f t="shared" si="0"/>
        <v>39039095.253738612</v>
      </c>
      <c r="K15" s="1216">
        <f t="shared" si="0"/>
        <v>42058669.011086583</v>
      </c>
    </row>
    <row r="16" spans="1:11">
      <c r="A16" s="1380"/>
      <c r="B16" s="1327"/>
      <c r="C16" s="1327"/>
      <c r="D16" s="1325"/>
      <c r="E16" s="1326"/>
      <c r="F16" s="1327"/>
      <c r="G16" s="1325"/>
      <c r="H16" s="1329"/>
      <c r="I16" s="1330"/>
      <c r="J16" s="1327"/>
      <c r="K16" s="1325"/>
    </row>
    <row r="17" spans="1:11">
      <c r="A17" s="1368" t="s">
        <v>213</v>
      </c>
      <c r="B17" s="1327"/>
      <c r="C17" s="1327"/>
      <c r="D17" s="1325"/>
      <c r="E17" s="1326"/>
      <c r="F17" s="1327"/>
      <c r="G17" s="1325"/>
      <c r="H17" s="1329"/>
      <c r="I17" s="1330"/>
      <c r="J17" s="1327"/>
      <c r="K17" s="1325"/>
    </row>
    <row r="18" spans="1:11">
      <c r="A18" s="1368" t="s">
        <v>203</v>
      </c>
      <c r="B18" s="1347"/>
      <c r="C18" s="1347"/>
      <c r="D18" s="1348"/>
      <c r="E18" s="1349"/>
      <c r="F18" s="1347"/>
      <c r="G18" s="1348"/>
      <c r="H18" s="1458"/>
      <c r="I18" s="1350"/>
      <c r="J18" s="1347"/>
      <c r="K18" s="1348"/>
    </row>
    <row r="19" spans="1:11">
      <c r="A19" s="1392" t="s">
        <v>214</v>
      </c>
      <c r="B19" s="1319"/>
      <c r="C19" s="1319"/>
      <c r="D19" s="1331"/>
      <c r="E19" s="260"/>
      <c r="F19" s="258"/>
      <c r="G19" s="259"/>
      <c r="H19" s="1323"/>
      <c r="I19" s="262"/>
      <c r="J19" s="258"/>
      <c r="K19" s="259"/>
    </row>
    <row r="20" spans="1:11">
      <c r="A20" s="1392" t="s">
        <v>215</v>
      </c>
      <c r="B20" s="1319"/>
      <c r="C20" s="258"/>
      <c r="D20" s="259"/>
      <c r="E20" s="1332"/>
      <c r="F20" s="1319"/>
      <c r="G20" s="1331"/>
      <c r="H20" s="1323"/>
      <c r="I20" s="1321"/>
      <c r="J20" s="1319"/>
      <c r="K20" s="1331"/>
    </row>
    <row r="21" spans="1:11">
      <c r="A21" s="1392" t="s">
        <v>216</v>
      </c>
      <c r="B21" s="258">
        <v>9117</v>
      </c>
      <c r="C21" s="1319"/>
      <c r="D21" s="1331"/>
      <c r="E21" s="260">
        <v>-3879.3513193400067</v>
      </c>
      <c r="F21" s="258">
        <v>-3361.6800000000003</v>
      </c>
      <c r="G21" s="259">
        <v>-3361.6800000000003</v>
      </c>
      <c r="H21" s="1323">
        <v>-3361.6800000000003</v>
      </c>
      <c r="I21" s="262">
        <v>-3180.3173640000023</v>
      </c>
      <c r="J21" s="262">
        <v>-3408.0530309280002</v>
      </c>
      <c r="K21" s="262">
        <v>-3654.2193229311815</v>
      </c>
    </row>
    <row r="22" spans="1:11">
      <c r="A22" s="1392" t="s">
        <v>217</v>
      </c>
      <c r="B22" s="1319"/>
      <c r="C22" s="1319"/>
      <c r="D22" s="1331"/>
      <c r="E22" s="1332"/>
      <c r="F22" s="1319"/>
      <c r="G22" s="1331"/>
      <c r="H22" s="1323"/>
      <c r="I22" s="1321"/>
      <c r="J22" s="1319"/>
      <c r="K22" s="1331"/>
    </row>
    <row r="23" spans="1:11">
      <c r="A23" s="1368" t="s">
        <v>209</v>
      </c>
      <c r="B23" s="1465"/>
      <c r="C23" s="1465"/>
      <c r="D23" s="1466"/>
      <c r="E23" s="1467"/>
      <c r="F23" s="1465"/>
      <c r="G23" s="1466"/>
      <c r="H23" s="1462"/>
      <c r="I23" s="1468"/>
      <c r="J23" s="1465"/>
      <c r="K23" s="1466"/>
    </row>
    <row r="24" spans="1:11">
      <c r="A24" s="1374" t="s">
        <v>218</v>
      </c>
      <c r="B24" s="1319">
        <v>-17580072</v>
      </c>
      <c r="C24" s="1319">
        <v>-32502312.57</v>
      </c>
      <c r="D24" s="1331">
        <v>-25245922.140000075</v>
      </c>
      <c r="E24" s="1332">
        <v>-22827550</v>
      </c>
      <c r="F24" s="1319">
        <v>-39492350</v>
      </c>
      <c r="G24" s="1331">
        <v>-39492350</v>
      </c>
      <c r="H24" s="1331">
        <v>-39492350</v>
      </c>
      <c r="I24" s="1321">
        <v>-42186059</v>
      </c>
      <c r="J24" s="1321">
        <v>-30175150</v>
      </c>
      <c r="K24" s="1321">
        <v>-25080000</v>
      </c>
    </row>
    <row r="25" spans="1:11">
      <c r="A25" s="1375" t="s">
        <v>219</v>
      </c>
      <c r="B25" s="1215">
        <f>SUM(B19:B22)+B24</f>
        <v>-17570955</v>
      </c>
      <c r="C25" s="1215">
        <f t="shared" ref="C25:K25" si="1">SUM(C19:C22)+C24</f>
        <v>-32502312.57</v>
      </c>
      <c r="D25" s="1216">
        <f t="shared" si="1"/>
        <v>-25245922.140000075</v>
      </c>
      <c r="E25" s="1217">
        <f t="shared" si="1"/>
        <v>-22831429.351319339</v>
      </c>
      <c r="F25" s="1215">
        <f t="shared" si="1"/>
        <v>-39495711.68</v>
      </c>
      <c r="G25" s="1216">
        <f t="shared" si="1"/>
        <v>-39495711.68</v>
      </c>
      <c r="H25" s="1218">
        <f t="shared" si="1"/>
        <v>-39495711.68</v>
      </c>
      <c r="I25" s="1219">
        <f t="shared" si="1"/>
        <v>-42189239.317364</v>
      </c>
      <c r="J25" s="1215">
        <f t="shared" si="1"/>
        <v>-30178558.053030927</v>
      </c>
      <c r="K25" s="1216">
        <f t="shared" si="1"/>
        <v>-25083654.219322931</v>
      </c>
    </row>
    <row r="26" spans="1:11">
      <c r="A26" s="1380"/>
      <c r="B26" s="1327"/>
      <c r="C26" s="1327"/>
      <c r="D26" s="1325"/>
      <c r="E26" s="1326"/>
      <c r="F26" s="1327"/>
      <c r="G26" s="1325"/>
      <c r="H26" s="1329"/>
      <c r="I26" s="1330"/>
      <c r="J26" s="1327"/>
      <c r="K26" s="1325"/>
    </row>
    <row r="27" spans="1:11">
      <c r="A27" s="1368" t="s">
        <v>220</v>
      </c>
      <c r="B27" s="1327"/>
      <c r="C27" s="1327"/>
      <c r="D27" s="1325"/>
      <c r="E27" s="1326"/>
      <c r="F27" s="1327"/>
      <c r="G27" s="1325"/>
      <c r="H27" s="1329"/>
      <c r="I27" s="1330"/>
      <c r="J27" s="1327"/>
      <c r="K27" s="1325"/>
    </row>
    <row r="28" spans="1:11">
      <c r="A28" s="1368" t="s">
        <v>203</v>
      </c>
      <c r="B28" s="1327"/>
      <c r="C28" s="1327"/>
      <c r="D28" s="1325"/>
      <c r="E28" s="1326"/>
      <c r="F28" s="1327"/>
      <c r="G28" s="1325"/>
      <c r="H28" s="1329"/>
      <c r="I28" s="1330"/>
      <c r="J28" s="1327"/>
      <c r="K28" s="1325"/>
    </row>
    <row r="29" spans="1:11">
      <c r="A29" s="1374" t="s">
        <v>221</v>
      </c>
      <c r="B29" s="1319"/>
      <c r="C29" s="1319"/>
      <c r="D29" s="1331"/>
      <c r="E29" s="1332"/>
      <c r="F29" s="1319"/>
      <c r="G29" s="1331"/>
      <c r="H29" s="1323"/>
      <c r="I29" s="1321"/>
      <c r="J29" s="1319"/>
      <c r="K29" s="1331"/>
    </row>
    <row r="30" spans="1:11">
      <c r="A30" s="1392" t="s">
        <v>222</v>
      </c>
      <c r="B30" s="1319">
        <f>4888092+1003314</f>
        <v>5891406</v>
      </c>
      <c r="C30" s="1319">
        <v>824862</v>
      </c>
      <c r="D30" s="1331">
        <v>6485584.1999999993</v>
      </c>
      <c r="E30" s="1332">
        <v>2880000</v>
      </c>
      <c r="F30" s="1319">
        <v>4330000</v>
      </c>
      <c r="G30" s="1331">
        <v>4330000</v>
      </c>
      <c r="H30" s="1323">
        <v>4330000</v>
      </c>
      <c r="I30" s="1321">
        <v>300000</v>
      </c>
      <c r="J30" s="1321">
        <v>0</v>
      </c>
      <c r="K30" s="1321">
        <v>0</v>
      </c>
    </row>
    <row r="31" spans="1:11">
      <c r="A31" s="1392" t="s">
        <v>223</v>
      </c>
      <c r="B31" s="1319"/>
      <c r="C31" s="1319"/>
      <c r="D31" s="1331"/>
      <c r="E31" s="1332">
        <v>12608.714910749986</v>
      </c>
      <c r="F31" s="258">
        <v>12608.714910749986</v>
      </c>
      <c r="G31" s="259">
        <v>12608.714910749986</v>
      </c>
      <c r="H31" s="1323">
        <v>12608.714910749986</v>
      </c>
      <c r="I31" s="1321">
        <v>11178.23000000001</v>
      </c>
      <c r="J31" s="1321">
        <v>11971.884329999972</v>
      </c>
      <c r="K31" s="1321">
        <v>12829.165145160019</v>
      </c>
    </row>
    <row r="32" spans="1:11">
      <c r="A32" s="1385" t="s">
        <v>209</v>
      </c>
      <c r="B32" s="1465"/>
      <c r="C32" s="1465"/>
      <c r="D32" s="1466"/>
      <c r="E32" s="1467"/>
      <c r="F32" s="1465"/>
      <c r="G32" s="1466"/>
      <c r="H32" s="1462"/>
      <c r="I32" s="1468"/>
      <c r="J32" s="1465"/>
      <c r="K32" s="1466"/>
    </row>
    <row r="33" spans="1:11">
      <c r="A33" s="1392" t="s">
        <v>224</v>
      </c>
      <c r="B33" s="1319">
        <v>-84761.48</v>
      </c>
      <c r="C33" s="1319"/>
      <c r="D33" s="1331"/>
      <c r="E33" s="1332">
        <v>-1216976.1343341153</v>
      </c>
      <c r="F33" s="1319">
        <v>-2912017</v>
      </c>
      <c r="G33" s="1331">
        <v>-2912017</v>
      </c>
      <c r="H33" s="1323">
        <v>-2912017</v>
      </c>
      <c r="I33" s="1321">
        <v>-2190911.4137005298</v>
      </c>
      <c r="J33" s="1321">
        <v>-1655825.3105582001</v>
      </c>
      <c r="K33" s="1321">
        <v>-1266863.2606770017</v>
      </c>
    </row>
    <row r="34" spans="1:11">
      <c r="A34" s="1375" t="s">
        <v>225</v>
      </c>
      <c r="B34" s="1215">
        <f>SUM(B29:B31)+B33</f>
        <v>5806644.5199999996</v>
      </c>
      <c r="C34" s="1215">
        <f t="shared" ref="C34:K34" si="2">SUM(C29:C31)+C33</f>
        <v>824862</v>
      </c>
      <c r="D34" s="1216">
        <f t="shared" si="2"/>
        <v>6485584.1999999993</v>
      </c>
      <c r="E34" s="1217">
        <f t="shared" si="2"/>
        <v>1675632.5805766345</v>
      </c>
      <c r="F34" s="1215">
        <f t="shared" si="2"/>
        <v>1430591.7149107503</v>
      </c>
      <c r="G34" s="1216">
        <f t="shared" si="2"/>
        <v>1430591.7149107503</v>
      </c>
      <c r="H34" s="1218">
        <f t="shared" si="2"/>
        <v>1430591.7149107503</v>
      </c>
      <c r="I34" s="1219">
        <f t="shared" si="2"/>
        <v>-1879733.1837005299</v>
      </c>
      <c r="J34" s="1215">
        <f t="shared" si="2"/>
        <v>-1643853.4262282001</v>
      </c>
      <c r="K34" s="1216">
        <f t="shared" si="2"/>
        <v>-1254034.0955318417</v>
      </c>
    </row>
    <row r="35" spans="1:11">
      <c r="A35" s="1380"/>
      <c r="B35" s="1327"/>
      <c r="C35" s="1327"/>
      <c r="D35" s="1325"/>
      <c r="E35" s="1326"/>
      <c r="F35" s="1327"/>
      <c r="G35" s="1325"/>
      <c r="H35" s="1329"/>
      <c r="I35" s="1330"/>
      <c r="J35" s="1327"/>
      <c r="K35" s="1325"/>
    </row>
    <row r="36" spans="1:11">
      <c r="A36" s="1368" t="s">
        <v>226</v>
      </c>
      <c r="B36" s="1347">
        <f>B15+B25+B34</f>
        <v>1861472.0199999996</v>
      </c>
      <c r="C36" s="1347">
        <f t="shared" ref="C36:K36" si="3">C15+C25+C34</f>
        <v>-11539456.830000009</v>
      </c>
      <c r="D36" s="1348">
        <f t="shared" si="3"/>
        <v>-372342.95000005886</v>
      </c>
      <c r="E36" s="1349">
        <f t="shared" si="3"/>
        <v>917382.82615403319</v>
      </c>
      <c r="F36" s="1347">
        <f t="shared" si="3"/>
        <v>9652903.9871358983</v>
      </c>
      <c r="G36" s="1348">
        <f t="shared" si="3"/>
        <v>9652903.9871358983</v>
      </c>
      <c r="H36" s="1458">
        <f t="shared" si="3"/>
        <v>9660903.9871358983</v>
      </c>
      <c r="I36" s="1350">
        <f t="shared" si="3"/>
        <v>2231703.6114344392</v>
      </c>
      <c r="J36" s="1347">
        <f t="shared" si="3"/>
        <v>7216683.7744794851</v>
      </c>
      <c r="K36" s="1348">
        <f t="shared" si="3"/>
        <v>15720980.69623181</v>
      </c>
    </row>
    <row r="37" spans="1:11">
      <c r="A37" s="1374" t="s">
        <v>227</v>
      </c>
      <c r="B37" s="1395">
        <v>10424659.840000005</v>
      </c>
      <c r="C37" s="1347">
        <f>B38</f>
        <v>12286131.860000005</v>
      </c>
      <c r="D37" s="1469">
        <f>C38</f>
        <v>746675.0299999956</v>
      </c>
      <c r="E37" s="1470">
        <v>-336076.47982000606</v>
      </c>
      <c r="F37" s="1395">
        <v>374258</v>
      </c>
      <c r="G37" s="1471">
        <v>374258</v>
      </c>
      <c r="H37" s="1458">
        <f>F37</f>
        <v>374258</v>
      </c>
      <c r="I37" s="1472">
        <f>+H38</f>
        <v>10035161.987135898</v>
      </c>
      <c r="J37" s="1347">
        <f>I38</f>
        <v>12266865.598570338</v>
      </c>
      <c r="K37" s="1348">
        <f>J38</f>
        <v>19483549.373049822</v>
      </c>
    </row>
    <row r="38" spans="1:11">
      <c r="A38" s="1473" t="s">
        <v>228</v>
      </c>
      <c r="B38" s="1228">
        <f>B36+B37</f>
        <v>12286131.860000005</v>
      </c>
      <c r="C38" s="1474">
        <f>C36+C37</f>
        <v>746675.0299999956</v>
      </c>
      <c r="D38" s="1229">
        <f>D36+D37</f>
        <v>374332.07999993674</v>
      </c>
      <c r="E38" s="1230">
        <f t="shared" ref="E38:K38" si="4">E36+E37</f>
        <v>581306.34633402713</v>
      </c>
      <c r="F38" s="1228">
        <f t="shared" si="4"/>
        <v>10027161.987135898</v>
      </c>
      <c r="G38" s="1229">
        <f t="shared" si="4"/>
        <v>10027161.987135898</v>
      </c>
      <c r="H38" s="1475">
        <f t="shared" si="4"/>
        <v>10035161.987135898</v>
      </c>
      <c r="I38" s="1476">
        <f t="shared" si="4"/>
        <v>12266865.598570338</v>
      </c>
      <c r="J38" s="1228">
        <f t="shared" si="4"/>
        <v>19483549.373049822</v>
      </c>
      <c r="K38" s="1229">
        <f t="shared" si="4"/>
        <v>35204530.06928163</v>
      </c>
    </row>
  </sheetData>
  <mergeCells count="2">
    <mergeCell ref="I2:K2"/>
    <mergeCell ref="E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E15" sqref="E15"/>
    </sheetView>
  </sheetViews>
  <sheetFormatPr defaultRowHeight="15"/>
  <cols>
    <col min="1" max="1" width="25.85546875" style="1463" customWidth="1"/>
    <col min="2" max="2" width="3.5703125" style="1463" customWidth="1"/>
    <col min="3" max="16384" width="9.140625" style="1463"/>
  </cols>
  <sheetData>
    <row r="1" spans="1:12">
      <c r="A1" s="1188" t="str">
        <f>muni&amp;" - "&amp;Approve8</f>
        <v>EC106 Sundays River Valley - Table A8 Cash backed reserves/accumulated surplus reconciliation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  <c r="L1" s="1188"/>
    </row>
    <row r="2" spans="1:12">
      <c r="A2" s="1190" t="str">
        <f>desc</f>
        <v>Description</v>
      </c>
      <c r="B2" s="1191" t="str">
        <f>head27</f>
        <v>Ref</v>
      </c>
      <c r="C2" s="1106" t="str">
        <f>head1b</f>
        <v>2008/9</v>
      </c>
      <c r="D2" s="1106" t="str">
        <f>head1A</f>
        <v>2009/10</v>
      </c>
      <c r="E2" s="1108" t="str">
        <f>Head1</f>
        <v>2010/11</v>
      </c>
      <c r="F2" s="1404" t="str">
        <f>Head2</f>
        <v>Current Year 2011/12</v>
      </c>
      <c r="G2" s="1405"/>
      <c r="H2" s="1405"/>
      <c r="I2" s="1405"/>
      <c r="J2" s="1401" t="str">
        <f>Head3</f>
        <v>2012/13 Medium Term Revenue &amp; Expenditure Framework</v>
      </c>
      <c r="K2" s="1402"/>
      <c r="L2" s="1403"/>
    </row>
    <row r="3" spans="1:12" ht="25.5">
      <c r="A3" s="1192" t="s">
        <v>68</v>
      </c>
      <c r="B3" s="1367"/>
      <c r="C3" s="1111" t="str">
        <f>Head5</f>
        <v>Audited Outcome</v>
      </c>
      <c r="D3" s="1111" t="str">
        <f>Head5</f>
        <v>Audited Outcome</v>
      </c>
      <c r="E3" s="1112" t="str">
        <f>Head5</f>
        <v>Audited Outcome</v>
      </c>
      <c r="F3" s="1110" t="str">
        <f>Head6</f>
        <v>Original Budget</v>
      </c>
      <c r="G3" s="1111" t="str">
        <f>Head7</f>
        <v>Adjusted Budget</v>
      </c>
      <c r="H3" s="1112" t="str">
        <f>Head8</f>
        <v>Full Year Forecast</v>
      </c>
      <c r="I3" s="1113" t="str">
        <f>Head5b</f>
        <v>Pre-audit outcome</v>
      </c>
      <c r="J3" s="1110" t="str">
        <f>Head9</f>
        <v>Budget Year 2012/13</v>
      </c>
      <c r="K3" s="1111" t="str">
        <f>Head10</f>
        <v>Budget Year +1 2013/14</v>
      </c>
      <c r="L3" s="1112" t="str">
        <f>Head11</f>
        <v>Budget Year +2 2014/15</v>
      </c>
    </row>
    <row r="4" spans="1:12">
      <c r="A4" s="1193" t="s">
        <v>52</v>
      </c>
      <c r="B4" s="1478"/>
      <c r="C4" s="1121"/>
      <c r="D4" s="1121"/>
      <c r="E4" s="1223"/>
      <c r="F4" s="1224"/>
      <c r="G4" s="1121"/>
      <c r="H4" s="1223"/>
      <c r="I4" s="1125"/>
      <c r="J4" s="1479"/>
      <c r="K4" s="1121"/>
      <c r="L4" s="1223"/>
    </row>
    <row r="5" spans="1:12">
      <c r="A5" s="1316" t="str">
        <f>LEFT('[2]A7-CFlow'!A38,37)</f>
        <v>Cash/cash equivalents at the year end</v>
      </c>
      <c r="B5" s="1478">
        <v>1</v>
      </c>
      <c r="C5" s="1121">
        <f>'[2]A7-CFlow'!C38</f>
        <v>12286131.860000005</v>
      </c>
      <c r="D5" s="1121">
        <f>'[2]A7-CFlow'!D38</f>
        <v>746675.0299999956</v>
      </c>
      <c r="E5" s="1223">
        <f>'[2]A7-CFlow'!E38</f>
        <v>374332.07999993674</v>
      </c>
      <c r="F5" s="1224">
        <f>'[2]A7-CFlow'!F38</f>
        <v>581306.34633402713</v>
      </c>
      <c r="G5" s="1121">
        <f>'[2]A7-CFlow'!G38</f>
        <v>10027161.987135898</v>
      </c>
      <c r="H5" s="1223">
        <f>'[2]A7-CFlow'!H38</f>
        <v>10027161.987135898</v>
      </c>
      <c r="I5" s="1125">
        <f>'[2]A7-CFlow'!I38</f>
        <v>10035161.987135898</v>
      </c>
      <c r="J5" s="1123">
        <f>'[2]A7-CFlow'!J38</f>
        <v>12266865.598570338</v>
      </c>
      <c r="K5" s="1121">
        <f>'[2]A7-CFlow'!K38</f>
        <v>19483549.373049822</v>
      </c>
      <c r="L5" s="1223">
        <f>'[2]A7-CFlow'!L38</f>
        <v>35204530.06928163</v>
      </c>
    </row>
    <row r="6" spans="1:12">
      <c r="A6" s="1374" t="s">
        <v>229</v>
      </c>
      <c r="B6" s="1478"/>
      <c r="C6" s="1121">
        <f>'[2]A6-FinPos'!C6+'[2]A6-FinPos'!C7-'[2]A6-FinPos'!C29-'[2]A8-ResRecon'!C5</f>
        <v>-1003387.910000002</v>
      </c>
      <c r="D6" s="1121">
        <f>'[2]A6-FinPos'!D6+'[2]A6-FinPos'!D7-'[2]A6-FinPos'!D29-'[2]A8-ResRecon'!D5</f>
        <v>-75.739999973680824</v>
      </c>
      <c r="E6" s="1223">
        <f>'[2]A6-FinPos'!E6+'[2]A6-FinPos'!E7-'[2]A6-FinPos'!E29-'[2]A8-ResRecon'!E5</f>
        <v>-71.749999936728273</v>
      </c>
      <c r="F6" s="1224">
        <f>'[2]A6-FinPos'!F6+'[2]A6-FinPos'!F7-'[2]A6-FinPos'!F29-'[2]A8-ResRecon'!F5</f>
        <v>11223536.314036706</v>
      </c>
      <c r="G6" s="1121">
        <f>'[2]A6-FinPos'!G6+'[2]A6-FinPos'!G7-'[2]A6-FinPos'!G29-'[2]A8-ResRecon'!G5</f>
        <v>7972.2480973936617</v>
      </c>
      <c r="H6" s="1223">
        <f>'[2]A6-FinPos'!H6+'[2]A6-FinPos'!H7-'[2]A6-FinPos'!H29-'[2]A8-ResRecon'!H5</f>
        <v>7972.2480973936617</v>
      </c>
      <c r="I6" s="1125">
        <f>'[2]A6-FinPos'!I6+'[2]A6-FinPos'!I7-'[2]A6-FinPos'!I29-'[2]A8-ResRecon'!I5</f>
        <v>-27.751902606338263</v>
      </c>
      <c r="J6" s="1123">
        <f>'[2]A6-FinPos'!J6+'[2]A6-FinPos'!J7-'[2]A6-FinPos'!J29-'[2]A8-ResRecon'!J5</f>
        <v>15.177461395040154</v>
      </c>
      <c r="K6" s="1121">
        <f>'[2]A6-FinPos'!K6+'[2]A6-FinPos'!K7-'[2]A6-FinPos'!K29-'[2]A8-ResRecon'!K5</f>
        <v>63.087944325059652</v>
      </c>
      <c r="L6" s="1223">
        <f>'[2]A6-FinPos'!L6+'[2]A6-FinPos'!L7-'[2]A6-FinPos'!L29-'[2]A8-ResRecon'!L5</f>
        <v>-5500637.8387359343</v>
      </c>
    </row>
    <row r="7" spans="1:12">
      <c r="A7" s="1316" t="str">
        <f>'[2]A6-FinPos'!A14&amp;" - "&amp;'[2]A6-FinPos'!A16</f>
        <v>Non current assets - Investments</v>
      </c>
      <c r="B7" s="1478">
        <v>1</v>
      </c>
      <c r="C7" s="1121">
        <f>'[2]A6-FinPos'!C16</f>
        <v>0</v>
      </c>
      <c r="D7" s="1121">
        <f>'[2]A6-FinPos'!D16</f>
        <v>0</v>
      </c>
      <c r="E7" s="1223">
        <f>'[2]A6-FinPos'!E16</f>
        <v>0</v>
      </c>
      <c r="F7" s="128">
        <f>'[2]A6-FinPos'!F16</f>
        <v>0</v>
      </c>
      <c r="G7" s="170">
        <f>'[2]A6-FinPos'!G16</f>
        <v>0</v>
      </c>
      <c r="H7" s="130">
        <f>'[2]A6-FinPos'!H16</f>
        <v>0</v>
      </c>
      <c r="I7" s="1125">
        <f>'[2]A6-FinPos'!I16</f>
        <v>0</v>
      </c>
      <c r="J7" s="131">
        <f>'[2]A6-FinPos'!J16</f>
        <v>0</v>
      </c>
      <c r="K7" s="170">
        <f>'[2]A6-FinPos'!K16</f>
        <v>0</v>
      </c>
      <c r="L7" s="130">
        <f>'[2]A6-FinPos'!L16</f>
        <v>0</v>
      </c>
    </row>
    <row r="8" spans="1:12">
      <c r="A8" s="1480" t="s">
        <v>230</v>
      </c>
      <c r="B8" s="1481"/>
      <c r="C8" s="1215">
        <f>SUM(C5:C7)</f>
        <v>11282743.950000003</v>
      </c>
      <c r="D8" s="1215">
        <f t="shared" ref="D8:L8" si="0">SUM(D5:D7)</f>
        <v>746599.29000002192</v>
      </c>
      <c r="E8" s="1216">
        <f t="shared" si="0"/>
        <v>374260.33</v>
      </c>
      <c r="F8" s="1217">
        <f t="shared" si="0"/>
        <v>11804842.660370734</v>
      </c>
      <c r="G8" s="1215">
        <f t="shared" si="0"/>
        <v>10035134.235233292</v>
      </c>
      <c r="H8" s="1216">
        <f t="shared" si="0"/>
        <v>10035134.235233292</v>
      </c>
      <c r="I8" s="1218">
        <f t="shared" si="0"/>
        <v>10035134.235233292</v>
      </c>
      <c r="J8" s="1219">
        <f t="shared" si="0"/>
        <v>12266880.776031733</v>
      </c>
      <c r="K8" s="1215">
        <f t="shared" si="0"/>
        <v>19483612.460994147</v>
      </c>
      <c r="L8" s="1216">
        <f t="shared" si="0"/>
        <v>29703892.230545696</v>
      </c>
    </row>
    <row r="9" spans="1:12">
      <c r="A9" s="1338"/>
      <c r="B9" s="1478"/>
      <c r="C9" s="1121"/>
      <c r="D9" s="1121"/>
      <c r="E9" s="1223"/>
      <c r="F9" s="1224"/>
      <c r="G9" s="1121"/>
      <c r="H9" s="1223"/>
      <c r="I9" s="1125"/>
      <c r="J9" s="1123"/>
      <c r="K9" s="1121"/>
      <c r="L9" s="1223"/>
    </row>
    <row r="10" spans="1:12">
      <c r="A10" s="1193" t="s">
        <v>53</v>
      </c>
      <c r="B10" s="1478"/>
      <c r="C10" s="1121"/>
      <c r="D10" s="1121"/>
      <c r="E10" s="1223"/>
      <c r="F10" s="1224"/>
      <c r="G10" s="1121"/>
      <c r="H10" s="1223"/>
      <c r="I10" s="1125"/>
      <c r="J10" s="1123"/>
      <c r="K10" s="1121"/>
      <c r="L10" s="1223"/>
    </row>
    <row r="11" spans="1:12">
      <c r="A11" s="1316" t="str">
        <f>[2]SA3!A36</f>
        <v>Unspent conditional transfers</v>
      </c>
      <c r="B11" s="1478"/>
      <c r="C11" s="170">
        <f>[2]SA3!C36</f>
        <v>19193349.610000003</v>
      </c>
      <c r="D11" s="1121">
        <f>[2]SA3!D36</f>
        <v>14656990.74</v>
      </c>
      <c r="E11" s="1223">
        <f>[2]SA3!E36</f>
        <v>1739158.1000000006</v>
      </c>
      <c r="F11" s="1224">
        <f>[2]SA3!F36</f>
        <v>3657000</v>
      </c>
      <c r="G11" s="1121">
        <f>[2]SA3!G36</f>
        <v>1631770</v>
      </c>
      <c r="H11" s="1223">
        <f>[2]SA3!H36</f>
        <v>1631770</v>
      </c>
      <c r="I11" s="1125">
        <f>[2]SA3!I36</f>
        <v>1631770</v>
      </c>
      <c r="J11" s="1123">
        <f>[2]SA3!J36</f>
        <v>1631770</v>
      </c>
      <c r="K11" s="1121">
        <f>[2]SA3!K36</f>
        <v>1631770</v>
      </c>
      <c r="L11" s="1223">
        <f>[2]SA3!L36</f>
        <v>1631770</v>
      </c>
    </row>
    <row r="12" spans="1:12">
      <c r="A12" s="1316" t="s">
        <v>231</v>
      </c>
      <c r="B12" s="1478"/>
      <c r="C12" s="240">
        <f>[2]SA17!C67</f>
        <v>0</v>
      </c>
      <c r="D12" s="240">
        <f>[2]SA17!D67</f>
        <v>0</v>
      </c>
      <c r="E12" s="241">
        <f>[2]SA17!E67</f>
        <v>0</v>
      </c>
      <c r="F12" s="242">
        <f>[2]SA17!F67</f>
        <v>0</v>
      </c>
      <c r="G12" s="240">
        <f>[2]SA17!G67</f>
        <v>0</v>
      </c>
      <c r="H12" s="241">
        <f>[2]SA17!H67</f>
        <v>0</v>
      </c>
      <c r="I12" s="132"/>
      <c r="J12" s="244">
        <f>[2]SA17!I67</f>
        <v>0</v>
      </c>
      <c r="K12" s="240">
        <f>[2]SA17!J67</f>
        <v>0</v>
      </c>
      <c r="L12" s="241">
        <f>[2]SA17!K67</f>
        <v>0</v>
      </c>
    </row>
    <row r="13" spans="1:12">
      <c r="A13" s="1316" t="s">
        <v>232</v>
      </c>
      <c r="B13" s="1478">
        <v>2</v>
      </c>
      <c r="C13" s="258"/>
      <c r="D13" s="258"/>
      <c r="E13" s="259"/>
      <c r="F13" s="260"/>
      <c r="G13" s="258"/>
      <c r="H13" s="259"/>
      <c r="I13" s="261"/>
      <c r="J13" s="262"/>
      <c r="K13" s="258"/>
      <c r="L13" s="259"/>
    </row>
    <row r="14" spans="1:12">
      <c r="A14" s="1316" t="s">
        <v>233</v>
      </c>
      <c r="B14" s="1478">
        <v>3</v>
      </c>
      <c r="C14" s="1121">
        <f>-C32</f>
        <v>0</v>
      </c>
      <c r="D14" s="1121">
        <f t="shared" ref="D14:L14" si="1">-D32</f>
        <v>0</v>
      </c>
      <c r="E14" s="1223">
        <f t="shared" si="1"/>
        <v>0</v>
      </c>
      <c r="F14" s="1224">
        <f>-F32</f>
        <v>0</v>
      </c>
      <c r="G14" s="1121">
        <f t="shared" si="1"/>
        <v>0</v>
      </c>
      <c r="H14" s="1223">
        <f t="shared" si="1"/>
        <v>0</v>
      </c>
      <c r="I14" s="1125">
        <f t="shared" si="1"/>
        <v>0</v>
      </c>
      <c r="J14" s="1123">
        <f t="shared" si="1"/>
        <v>0</v>
      </c>
      <c r="K14" s="1121">
        <f t="shared" si="1"/>
        <v>0</v>
      </c>
      <c r="L14" s="1223">
        <f t="shared" si="1"/>
        <v>0</v>
      </c>
    </row>
    <row r="15" spans="1:12">
      <c r="A15" s="1316" t="s">
        <v>234</v>
      </c>
      <c r="B15" s="1478"/>
      <c r="C15" s="258"/>
      <c r="D15" s="258"/>
      <c r="E15" s="259"/>
      <c r="F15" s="260"/>
      <c r="G15" s="258"/>
      <c r="H15" s="259"/>
      <c r="I15" s="261"/>
      <c r="J15" s="262"/>
      <c r="K15" s="258"/>
      <c r="L15" s="259"/>
    </row>
    <row r="16" spans="1:12">
      <c r="A16" s="1316" t="s">
        <v>235</v>
      </c>
      <c r="B16" s="1478">
        <v>4</v>
      </c>
      <c r="C16" s="1121">
        <f>C52</f>
        <v>0</v>
      </c>
      <c r="D16" s="1121">
        <f t="shared" ref="D16:L16" si="2">D52</f>
        <v>0</v>
      </c>
      <c r="E16" s="1223">
        <f t="shared" si="2"/>
        <v>0</v>
      </c>
      <c r="F16" s="128">
        <f t="shared" si="2"/>
        <v>0</v>
      </c>
      <c r="G16" s="170">
        <f t="shared" si="2"/>
        <v>0</v>
      </c>
      <c r="H16" s="130">
        <f t="shared" si="2"/>
        <v>0</v>
      </c>
      <c r="I16" s="129">
        <f t="shared" si="2"/>
        <v>0</v>
      </c>
      <c r="J16" s="131">
        <f t="shared" si="2"/>
        <v>0</v>
      </c>
      <c r="K16" s="170">
        <f t="shared" si="2"/>
        <v>0</v>
      </c>
      <c r="L16" s="130">
        <f t="shared" si="2"/>
        <v>0</v>
      </c>
    </row>
    <row r="17" spans="1:14">
      <c r="A17" s="1316" t="s">
        <v>236</v>
      </c>
      <c r="B17" s="1478">
        <v>5</v>
      </c>
      <c r="C17" s="1319"/>
      <c r="D17" s="1319"/>
      <c r="E17" s="1331"/>
      <c r="F17" s="1332"/>
      <c r="G17" s="1319"/>
      <c r="H17" s="1331"/>
      <c r="I17" s="1323"/>
      <c r="J17" s="1321"/>
      <c r="K17" s="1319"/>
      <c r="L17" s="1331"/>
      <c r="M17" s="1464"/>
      <c r="N17" s="1464"/>
    </row>
    <row r="18" spans="1:14">
      <c r="A18" s="1480" t="str">
        <f>"Total "&amp;A10&amp;":"</f>
        <v>Total Application of cash and investments:</v>
      </c>
      <c r="B18" s="1481"/>
      <c r="C18" s="1215">
        <f>SUM(C11:C17)</f>
        <v>19193349.610000003</v>
      </c>
      <c r="D18" s="1215">
        <f t="shared" ref="D18:L18" si="3">SUM(D11:D17)</f>
        <v>14656990.74</v>
      </c>
      <c r="E18" s="1216">
        <f t="shared" si="3"/>
        <v>1739158.1000000006</v>
      </c>
      <c r="F18" s="1217">
        <f t="shared" si="3"/>
        <v>3657000</v>
      </c>
      <c r="G18" s="1215">
        <f t="shared" si="3"/>
        <v>1631770</v>
      </c>
      <c r="H18" s="1216">
        <f t="shared" si="3"/>
        <v>1631770</v>
      </c>
      <c r="I18" s="1218">
        <f t="shared" si="3"/>
        <v>1631770</v>
      </c>
      <c r="J18" s="1219">
        <f t="shared" si="3"/>
        <v>1631770</v>
      </c>
      <c r="K18" s="1215">
        <f t="shared" si="3"/>
        <v>1631770</v>
      </c>
      <c r="L18" s="1216">
        <f t="shared" si="3"/>
        <v>1631770</v>
      </c>
      <c r="M18" s="1464"/>
      <c r="N18" s="1477"/>
    </row>
    <row r="19" spans="1:14">
      <c r="A19" s="1482" t="s">
        <v>237</v>
      </c>
      <c r="B19" s="1483"/>
      <c r="C19" s="1474">
        <f>C8-C18</f>
        <v>-7910605.6600000001</v>
      </c>
      <c r="D19" s="1474">
        <f t="shared" ref="D19:L19" si="4">D8-D18</f>
        <v>-13910391.449999979</v>
      </c>
      <c r="E19" s="1484">
        <f t="shared" si="4"/>
        <v>-1364897.7700000005</v>
      </c>
      <c r="F19" s="1485">
        <f t="shared" si="4"/>
        <v>8147842.6603707336</v>
      </c>
      <c r="G19" s="1474">
        <f t="shared" si="4"/>
        <v>8403364.235233292</v>
      </c>
      <c r="H19" s="1484">
        <f t="shared" si="4"/>
        <v>8403364.235233292</v>
      </c>
      <c r="I19" s="1475">
        <f t="shared" si="4"/>
        <v>8403364.235233292</v>
      </c>
      <c r="J19" s="1476">
        <f t="shared" si="4"/>
        <v>10635110.776031733</v>
      </c>
      <c r="K19" s="1474">
        <f t="shared" si="4"/>
        <v>17851842.460994147</v>
      </c>
      <c r="L19" s="1484">
        <f t="shared" si="4"/>
        <v>28072122.230545696</v>
      </c>
      <c r="M19" s="1464"/>
      <c r="N19" s="1477"/>
    </row>
    <row r="20" spans="1:14">
      <c r="A20" s="1464"/>
      <c r="B20" s="1464"/>
      <c r="C20" s="1464"/>
      <c r="D20" s="1464"/>
      <c r="E20" s="1464"/>
      <c r="F20" s="1464"/>
      <c r="G20" s="1464"/>
      <c r="H20" s="1464"/>
      <c r="I20" s="1464"/>
      <c r="J20" s="1464"/>
      <c r="K20" s="1464"/>
      <c r="L20" s="1464"/>
    </row>
  </sheetData>
  <mergeCells count="2">
    <mergeCell ref="J2:L2"/>
    <mergeCell ref="F2:I2"/>
  </mergeCells>
  <dataValidations count="1">
    <dataValidation type="decimal" allowBlank="1" showInputMessage="1" showErrorMessage="1" sqref="C12:L13 C15:L15 C17:L17">
      <formula1>-99999999999999900000</formula1>
      <formula2>99999999999999900000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03"/>
  <sheetViews>
    <sheetView workbookViewId="0"/>
  </sheetViews>
  <sheetFormatPr defaultRowHeight="15"/>
  <cols>
    <col min="1" max="1" width="33" customWidth="1"/>
    <col min="2" max="2" width="4.140625" customWidth="1"/>
  </cols>
  <sheetData>
    <row r="1" spans="1:11">
      <c r="A1" s="135" t="s">
        <v>239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1">
      <c r="A2" s="208" t="s">
        <v>0</v>
      </c>
      <c r="B2" s="205" t="s">
        <v>67</v>
      </c>
      <c r="C2" s="136" t="s">
        <v>1</v>
      </c>
      <c r="D2" s="136" t="s">
        <v>2</v>
      </c>
      <c r="E2" s="134" t="s">
        <v>3</v>
      </c>
      <c r="F2" s="1422" t="s">
        <v>4</v>
      </c>
      <c r="G2" s="1423"/>
      <c r="H2" s="1424"/>
      <c r="I2" s="1419" t="s">
        <v>5</v>
      </c>
      <c r="J2" s="1420"/>
      <c r="K2" s="1421"/>
    </row>
    <row r="3" spans="1:11" ht="25.5">
      <c r="A3" s="236" t="s">
        <v>68</v>
      </c>
      <c r="B3" s="209"/>
      <c r="C3" s="200" t="s">
        <v>7</v>
      </c>
      <c r="D3" s="200" t="s">
        <v>7</v>
      </c>
      <c r="E3" s="201" t="s">
        <v>7</v>
      </c>
      <c r="F3" s="177" t="s">
        <v>8</v>
      </c>
      <c r="G3" s="200" t="s">
        <v>9</v>
      </c>
      <c r="H3" s="201" t="s">
        <v>10</v>
      </c>
      <c r="I3" s="177" t="s">
        <v>12</v>
      </c>
      <c r="J3" s="200" t="s">
        <v>13</v>
      </c>
      <c r="K3" s="201" t="s">
        <v>14</v>
      </c>
    </row>
    <row r="4" spans="1:11">
      <c r="A4" s="247" t="s">
        <v>240</v>
      </c>
      <c r="B4" s="137"/>
      <c r="C4" s="153"/>
      <c r="D4" s="153"/>
      <c r="E4" s="154"/>
      <c r="F4" s="155"/>
      <c r="G4" s="153"/>
      <c r="H4" s="152"/>
      <c r="I4" s="156"/>
      <c r="J4" s="153"/>
      <c r="K4" s="154"/>
    </row>
    <row r="5" spans="1:11">
      <c r="A5" s="248" t="s">
        <v>241</v>
      </c>
      <c r="B5" s="137">
        <v>1</v>
      </c>
      <c r="C5" s="153">
        <v>17580071.710000001</v>
      </c>
      <c r="D5" s="153">
        <v>26406363.789999995</v>
      </c>
      <c r="E5" s="154">
        <v>24065430.559999999</v>
      </c>
      <c r="F5" s="155">
        <v>4023550</v>
      </c>
      <c r="G5" s="153">
        <v>4088550</v>
      </c>
      <c r="H5" s="152">
        <v>4088550</v>
      </c>
      <c r="I5" s="156">
        <v>23186059</v>
      </c>
      <c r="J5" s="153">
        <v>9289950</v>
      </c>
      <c r="K5" s="154">
        <v>4620000</v>
      </c>
    </row>
    <row r="6" spans="1:11">
      <c r="A6" s="249" t="s">
        <v>242</v>
      </c>
      <c r="B6" s="180"/>
      <c r="C6" s="215">
        <v>0</v>
      </c>
      <c r="D6" s="215">
        <v>0</v>
      </c>
      <c r="E6" s="216">
        <v>0</v>
      </c>
      <c r="F6" s="217">
        <v>0</v>
      </c>
      <c r="G6" s="215">
        <v>0</v>
      </c>
      <c r="H6" s="218">
        <v>0</v>
      </c>
      <c r="I6" s="219">
        <v>0</v>
      </c>
      <c r="J6" s="215">
        <v>0</v>
      </c>
      <c r="K6" s="216">
        <v>0</v>
      </c>
    </row>
    <row r="7" spans="1:11">
      <c r="A7" s="249" t="s">
        <v>243</v>
      </c>
      <c r="B7" s="180"/>
      <c r="C7" s="215">
        <v>0</v>
      </c>
      <c r="D7" s="215">
        <v>0</v>
      </c>
      <c r="E7" s="216">
        <v>0</v>
      </c>
      <c r="F7" s="217">
        <v>0</v>
      </c>
      <c r="G7" s="215">
        <v>0</v>
      </c>
      <c r="H7" s="218">
        <v>0</v>
      </c>
      <c r="I7" s="219">
        <v>0</v>
      </c>
      <c r="J7" s="215">
        <v>0</v>
      </c>
      <c r="K7" s="216">
        <v>4620000</v>
      </c>
    </row>
    <row r="8" spans="1:11">
      <c r="A8" s="249" t="s">
        <v>244</v>
      </c>
      <c r="B8" s="180"/>
      <c r="C8" s="215">
        <v>6169372.620000001</v>
      </c>
      <c r="D8" s="215">
        <v>8774384.3200000003</v>
      </c>
      <c r="E8" s="216">
        <v>15104318.27</v>
      </c>
      <c r="F8" s="217">
        <v>500000</v>
      </c>
      <c r="G8" s="215">
        <v>500000</v>
      </c>
      <c r="H8" s="218">
        <v>500000</v>
      </c>
      <c r="I8" s="219">
        <v>18976050</v>
      </c>
      <c r="J8" s="215">
        <v>7989950</v>
      </c>
      <c r="K8" s="216">
        <v>0</v>
      </c>
    </row>
    <row r="9" spans="1:11">
      <c r="A9" s="249" t="s">
        <v>245</v>
      </c>
      <c r="B9" s="180"/>
      <c r="C9" s="215">
        <v>10389507.719999999</v>
      </c>
      <c r="D9" s="215">
        <v>10386647.499999996</v>
      </c>
      <c r="E9" s="216">
        <v>7911237.8999999985</v>
      </c>
      <c r="F9" s="217">
        <v>725000</v>
      </c>
      <c r="G9" s="215">
        <v>725000</v>
      </c>
      <c r="H9" s="218">
        <v>725000</v>
      </c>
      <c r="I9" s="219">
        <v>1500000</v>
      </c>
      <c r="J9" s="215">
        <v>1300000</v>
      </c>
      <c r="K9" s="216">
        <v>0</v>
      </c>
    </row>
    <row r="10" spans="1:11">
      <c r="A10" s="249" t="s">
        <v>246</v>
      </c>
      <c r="B10" s="180"/>
      <c r="C10" s="215">
        <v>0</v>
      </c>
      <c r="D10" s="215">
        <v>0</v>
      </c>
      <c r="E10" s="216">
        <v>0</v>
      </c>
      <c r="F10" s="217">
        <v>0</v>
      </c>
      <c r="G10" s="215">
        <v>0</v>
      </c>
      <c r="H10" s="218">
        <v>0</v>
      </c>
      <c r="I10" s="219">
        <v>0</v>
      </c>
      <c r="J10" s="215">
        <v>0</v>
      </c>
      <c r="K10" s="216">
        <v>0</v>
      </c>
    </row>
    <row r="11" spans="1:11">
      <c r="A11" s="237" t="s">
        <v>247</v>
      </c>
      <c r="B11" s="180"/>
      <c r="C11" s="210">
        <v>16558880.34</v>
      </c>
      <c r="D11" s="210">
        <v>19161031.819999997</v>
      </c>
      <c r="E11" s="211">
        <v>23015556.169999998</v>
      </c>
      <c r="F11" s="212">
        <v>1225000</v>
      </c>
      <c r="G11" s="210">
        <v>1225000</v>
      </c>
      <c r="H11" s="213">
        <v>1225000</v>
      </c>
      <c r="I11" s="214">
        <v>20476050</v>
      </c>
      <c r="J11" s="210">
        <v>9289950</v>
      </c>
      <c r="K11" s="211">
        <v>4620000</v>
      </c>
    </row>
    <row r="12" spans="1:11">
      <c r="A12" s="238" t="s">
        <v>248</v>
      </c>
      <c r="B12" s="137"/>
      <c r="C12" s="215">
        <v>0</v>
      </c>
      <c r="D12" s="215">
        <v>4006100</v>
      </c>
      <c r="E12" s="216">
        <v>0</v>
      </c>
      <c r="F12" s="217">
        <v>0</v>
      </c>
      <c r="G12" s="215">
        <v>0</v>
      </c>
      <c r="H12" s="218">
        <v>0</v>
      </c>
      <c r="I12" s="219">
        <v>910720</v>
      </c>
      <c r="J12" s="215">
        <v>0</v>
      </c>
      <c r="K12" s="216">
        <v>0</v>
      </c>
    </row>
    <row r="13" spans="1:11">
      <c r="A13" s="238" t="s">
        <v>249</v>
      </c>
      <c r="B13" s="137"/>
      <c r="C13" s="240">
        <v>0</v>
      </c>
      <c r="D13" s="240">
        <v>0</v>
      </c>
      <c r="E13" s="241">
        <v>0</v>
      </c>
      <c r="F13" s="242">
        <v>0</v>
      </c>
      <c r="G13" s="240">
        <v>0</v>
      </c>
      <c r="H13" s="243">
        <v>0</v>
      </c>
      <c r="I13" s="244">
        <v>0</v>
      </c>
      <c r="J13" s="240">
        <v>0</v>
      </c>
      <c r="K13" s="241">
        <v>0</v>
      </c>
    </row>
    <row r="14" spans="1:11">
      <c r="A14" s="238" t="s">
        <v>250</v>
      </c>
      <c r="B14" s="137"/>
      <c r="C14" s="215">
        <v>0</v>
      </c>
      <c r="D14" s="215">
        <v>0</v>
      </c>
      <c r="E14" s="216">
        <v>0</v>
      </c>
      <c r="F14" s="217">
        <v>0</v>
      </c>
      <c r="G14" s="215">
        <v>0</v>
      </c>
      <c r="H14" s="218">
        <v>0</v>
      </c>
      <c r="I14" s="219">
        <v>0</v>
      </c>
      <c r="J14" s="215">
        <v>0</v>
      </c>
      <c r="K14" s="216">
        <v>0</v>
      </c>
    </row>
    <row r="15" spans="1:11">
      <c r="A15" s="238" t="s">
        <v>251</v>
      </c>
      <c r="B15" s="137">
        <v>6</v>
      </c>
      <c r="C15" s="215">
        <v>1021191.3699999995</v>
      </c>
      <c r="D15" s="215">
        <v>3239231.9699999993</v>
      </c>
      <c r="E15" s="216">
        <v>1049874.3900000001</v>
      </c>
      <c r="F15" s="217">
        <v>2798550</v>
      </c>
      <c r="G15" s="215">
        <v>2863550</v>
      </c>
      <c r="H15" s="218">
        <v>2863550</v>
      </c>
      <c r="I15" s="219">
        <v>1799289</v>
      </c>
      <c r="J15" s="215">
        <v>0</v>
      </c>
      <c r="K15" s="216">
        <v>0</v>
      </c>
    </row>
    <row r="16" spans="1:11">
      <c r="A16" s="250" t="s">
        <v>252</v>
      </c>
      <c r="B16" s="206"/>
      <c r="C16" s="215">
        <v>0</v>
      </c>
      <c r="D16" s="215">
        <v>0</v>
      </c>
      <c r="E16" s="216">
        <v>0</v>
      </c>
      <c r="F16" s="217">
        <v>0</v>
      </c>
      <c r="G16" s="215">
        <v>0</v>
      </c>
      <c r="H16" s="218">
        <v>0</v>
      </c>
      <c r="I16" s="219">
        <v>0</v>
      </c>
      <c r="J16" s="215">
        <v>0</v>
      </c>
      <c r="K16" s="216">
        <v>0</v>
      </c>
    </row>
    <row r="17" spans="1:11">
      <c r="A17" s="238" t="s">
        <v>253</v>
      </c>
      <c r="B17" s="137"/>
      <c r="C17" s="215">
        <v>0</v>
      </c>
      <c r="D17" s="215">
        <v>0</v>
      </c>
      <c r="E17" s="216">
        <v>0</v>
      </c>
      <c r="F17" s="217">
        <v>0</v>
      </c>
      <c r="G17" s="215">
        <v>0</v>
      </c>
      <c r="H17" s="218">
        <v>0</v>
      </c>
      <c r="I17" s="219">
        <v>0</v>
      </c>
      <c r="J17" s="215">
        <v>0</v>
      </c>
      <c r="K17" s="216">
        <v>0</v>
      </c>
    </row>
    <row r="18" spans="1:11">
      <c r="A18" s="238" t="s">
        <v>254</v>
      </c>
      <c r="B18" s="137"/>
      <c r="C18" s="220">
        <v>0</v>
      </c>
      <c r="D18" s="220">
        <v>0</v>
      </c>
      <c r="E18" s="221">
        <v>0</v>
      </c>
      <c r="F18" s="222">
        <v>0</v>
      </c>
      <c r="G18" s="220">
        <v>0</v>
      </c>
      <c r="H18" s="223">
        <v>0</v>
      </c>
      <c r="I18" s="224">
        <v>0</v>
      </c>
      <c r="J18" s="220">
        <v>0</v>
      </c>
      <c r="K18" s="221">
        <v>0</v>
      </c>
    </row>
    <row r="19" spans="1:11">
      <c r="A19" s="239"/>
      <c r="B19" s="137"/>
      <c r="C19" s="144"/>
      <c r="D19" s="144"/>
      <c r="E19" s="174"/>
      <c r="F19" s="167"/>
      <c r="G19" s="144"/>
      <c r="H19" s="145"/>
      <c r="I19" s="146"/>
      <c r="J19" s="144"/>
      <c r="K19" s="174"/>
    </row>
    <row r="20" spans="1:11">
      <c r="A20" s="248" t="s">
        <v>255</v>
      </c>
      <c r="B20" s="137">
        <v>2</v>
      </c>
      <c r="C20" s="202">
        <v>0</v>
      </c>
      <c r="D20" s="202">
        <v>0</v>
      </c>
      <c r="E20" s="179">
        <v>0</v>
      </c>
      <c r="F20" s="203">
        <v>18803800</v>
      </c>
      <c r="G20" s="202">
        <v>35403800</v>
      </c>
      <c r="H20" s="204">
        <v>35403800</v>
      </c>
      <c r="I20" s="245">
        <v>19000000</v>
      </c>
      <c r="J20" s="202">
        <v>20885200</v>
      </c>
      <c r="K20" s="179">
        <v>20460000</v>
      </c>
    </row>
    <row r="21" spans="1:11">
      <c r="A21" s="249" t="s">
        <v>242</v>
      </c>
      <c r="B21" s="180"/>
      <c r="C21" s="215">
        <v>0</v>
      </c>
      <c r="D21" s="215">
        <v>0</v>
      </c>
      <c r="E21" s="216">
        <v>0</v>
      </c>
      <c r="F21" s="217">
        <v>4390000</v>
      </c>
      <c r="G21" s="215">
        <v>969679</v>
      </c>
      <c r="H21" s="218">
        <v>969679</v>
      </c>
      <c r="I21" s="219">
        <v>5000000</v>
      </c>
      <c r="J21" s="215">
        <v>5000000</v>
      </c>
      <c r="K21" s="216">
        <v>9474100</v>
      </c>
    </row>
    <row r="22" spans="1:11">
      <c r="A22" s="249" t="s">
        <v>243</v>
      </c>
      <c r="B22" s="180"/>
      <c r="C22" s="215">
        <v>0</v>
      </c>
      <c r="D22" s="215">
        <v>0</v>
      </c>
      <c r="E22" s="216">
        <v>0</v>
      </c>
      <c r="F22" s="217">
        <v>0</v>
      </c>
      <c r="G22" s="215">
        <v>0</v>
      </c>
      <c r="H22" s="218">
        <v>0</v>
      </c>
      <c r="I22" s="219">
        <v>0</v>
      </c>
      <c r="J22" s="215">
        <v>0</v>
      </c>
      <c r="K22" s="216">
        <v>0</v>
      </c>
    </row>
    <row r="23" spans="1:11">
      <c r="A23" s="249" t="s">
        <v>244</v>
      </c>
      <c r="B23" s="180"/>
      <c r="C23" s="215">
        <v>0</v>
      </c>
      <c r="D23" s="215">
        <v>0</v>
      </c>
      <c r="E23" s="216">
        <v>0</v>
      </c>
      <c r="F23" s="217">
        <v>7545055</v>
      </c>
      <c r="G23" s="215">
        <v>25928292</v>
      </c>
      <c r="H23" s="218">
        <v>25928292</v>
      </c>
      <c r="I23" s="219">
        <v>0</v>
      </c>
      <c r="J23" s="215">
        <v>0</v>
      </c>
      <c r="K23" s="216">
        <v>0</v>
      </c>
    </row>
    <row r="24" spans="1:11">
      <c r="A24" s="249" t="s">
        <v>245</v>
      </c>
      <c r="B24" s="180"/>
      <c r="C24" s="215">
        <v>0</v>
      </c>
      <c r="D24" s="215">
        <v>0</v>
      </c>
      <c r="E24" s="216">
        <v>0</v>
      </c>
      <c r="F24" s="217">
        <v>5868745</v>
      </c>
      <c r="G24" s="215">
        <v>8505829</v>
      </c>
      <c r="H24" s="218">
        <v>8505829</v>
      </c>
      <c r="I24" s="219">
        <v>10500000</v>
      </c>
      <c r="J24" s="215">
        <v>12385200</v>
      </c>
      <c r="K24" s="216">
        <v>7485900</v>
      </c>
    </row>
    <row r="25" spans="1:11">
      <c r="A25" s="249" t="s">
        <v>246</v>
      </c>
      <c r="B25" s="180"/>
      <c r="C25" s="215">
        <v>0</v>
      </c>
      <c r="D25" s="215">
        <v>0</v>
      </c>
      <c r="E25" s="216">
        <v>0</v>
      </c>
      <c r="F25" s="217">
        <v>0</v>
      </c>
      <c r="G25" s="215">
        <v>0</v>
      </c>
      <c r="H25" s="218">
        <v>0</v>
      </c>
      <c r="I25" s="219">
        <v>0</v>
      </c>
      <c r="J25" s="215">
        <v>0</v>
      </c>
      <c r="K25" s="216">
        <v>0</v>
      </c>
    </row>
    <row r="26" spans="1:11">
      <c r="A26" s="237" t="s">
        <v>247</v>
      </c>
      <c r="B26" s="184"/>
      <c r="C26" s="210">
        <v>0</v>
      </c>
      <c r="D26" s="210">
        <v>0</v>
      </c>
      <c r="E26" s="211">
        <v>0</v>
      </c>
      <c r="F26" s="212">
        <v>17803800</v>
      </c>
      <c r="G26" s="210">
        <v>35403800</v>
      </c>
      <c r="H26" s="213">
        <v>35403800</v>
      </c>
      <c r="I26" s="214">
        <v>15500000</v>
      </c>
      <c r="J26" s="210">
        <v>17385200</v>
      </c>
      <c r="K26" s="211">
        <v>16960000</v>
      </c>
    </row>
    <row r="27" spans="1:11">
      <c r="A27" s="238" t="s">
        <v>248</v>
      </c>
      <c r="B27" s="175"/>
      <c r="C27" s="215">
        <v>0</v>
      </c>
      <c r="D27" s="215">
        <v>0</v>
      </c>
      <c r="E27" s="216">
        <v>0</v>
      </c>
      <c r="F27" s="217">
        <v>1000000</v>
      </c>
      <c r="G27" s="215">
        <v>0</v>
      </c>
      <c r="H27" s="218">
        <v>0</v>
      </c>
      <c r="I27" s="219">
        <v>3500000</v>
      </c>
      <c r="J27" s="215">
        <v>3500000</v>
      </c>
      <c r="K27" s="216">
        <v>3500000</v>
      </c>
    </row>
    <row r="28" spans="1:11">
      <c r="A28" s="238" t="s">
        <v>249</v>
      </c>
      <c r="B28" s="175"/>
      <c r="C28" s="240">
        <v>0</v>
      </c>
      <c r="D28" s="240">
        <v>0</v>
      </c>
      <c r="E28" s="241">
        <v>0</v>
      </c>
      <c r="F28" s="242">
        <v>0</v>
      </c>
      <c r="G28" s="240">
        <v>0</v>
      </c>
      <c r="H28" s="243">
        <v>0</v>
      </c>
      <c r="I28" s="244">
        <v>0</v>
      </c>
      <c r="J28" s="240">
        <v>0</v>
      </c>
      <c r="K28" s="241">
        <v>0</v>
      </c>
    </row>
    <row r="29" spans="1:11">
      <c r="A29" s="238" t="s">
        <v>250</v>
      </c>
      <c r="B29" s="175"/>
      <c r="C29" s="215">
        <v>0</v>
      </c>
      <c r="D29" s="215">
        <v>0</v>
      </c>
      <c r="E29" s="216">
        <v>0</v>
      </c>
      <c r="F29" s="217">
        <v>0</v>
      </c>
      <c r="G29" s="215">
        <v>0</v>
      </c>
      <c r="H29" s="218">
        <v>0</v>
      </c>
      <c r="I29" s="219">
        <v>0</v>
      </c>
      <c r="J29" s="215">
        <v>0</v>
      </c>
      <c r="K29" s="216">
        <v>0</v>
      </c>
    </row>
    <row r="30" spans="1:11">
      <c r="A30" s="238" t="s">
        <v>251</v>
      </c>
      <c r="B30" s="137">
        <v>6</v>
      </c>
      <c r="C30" s="215">
        <v>0</v>
      </c>
      <c r="D30" s="215">
        <v>0</v>
      </c>
      <c r="E30" s="216">
        <v>0</v>
      </c>
      <c r="F30" s="217">
        <v>0</v>
      </c>
      <c r="G30" s="215">
        <v>0</v>
      </c>
      <c r="H30" s="218">
        <v>0</v>
      </c>
      <c r="I30" s="219">
        <v>0</v>
      </c>
      <c r="J30" s="215">
        <v>0</v>
      </c>
      <c r="K30" s="216">
        <v>0</v>
      </c>
    </row>
    <row r="31" spans="1:11">
      <c r="A31" s="250" t="s">
        <v>252</v>
      </c>
      <c r="B31" s="206"/>
      <c r="C31" s="215">
        <v>0</v>
      </c>
      <c r="D31" s="215">
        <v>0</v>
      </c>
      <c r="E31" s="216">
        <v>0</v>
      </c>
      <c r="F31" s="217">
        <v>0</v>
      </c>
      <c r="G31" s="215">
        <v>0</v>
      </c>
      <c r="H31" s="218">
        <v>0</v>
      </c>
      <c r="I31" s="219">
        <v>0</v>
      </c>
      <c r="J31" s="215">
        <v>0</v>
      </c>
      <c r="K31" s="216">
        <v>0</v>
      </c>
    </row>
    <row r="32" spans="1:11">
      <c r="A32" s="238" t="s">
        <v>253</v>
      </c>
      <c r="B32" s="137"/>
      <c r="C32" s="215">
        <v>0</v>
      </c>
      <c r="D32" s="215">
        <v>0</v>
      </c>
      <c r="E32" s="216">
        <v>0</v>
      </c>
      <c r="F32" s="217">
        <v>0</v>
      </c>
      <c r="G32" s="215">
        <v>0</v>
      </c>
      <c r="H32" s="218">
        <v>0</v>
      </c>
      <c r="I32" s="219">
        <v>0</v>
      </c>
      <c r="J32" s="215">
        <v>0</v>
      </c>
      <c r="K32" s="216">
        <v>0</v>
      </c>
    </row>
    <row r="33" spans="1:11">
      <c r="A33" s="238" t="s">
        <v>254</v>
      </c>
      <c r="B33" s="137"/>
      <c r="C33" s="220">
        <v>0</v>
      </c>
      <c r="D33" s="220">
        <v>0</v>
      </c>
      <c r="E33" s="221">
        <v>0</v>
      </c>
      <c r="F33" s="222">
        <v>0</v>
      </c>
      <c r="G33" s="220">
        <v>0</v>
      </c>
      <c r="H33" s="223">
        <v>0</v>
      </c>
      <c r="I33" s="224">
        <v>0</v>
      </c>
      <c r="J33" s="220">
        <v>0</v>
      </c>
      <c r="K33" s="221">
        <v>0</v>
      </c>
    </row>
    <row r="34" spans="1:11">
      <c r="A34" s="239"/>
      <c r="B34" s="137"/>
      <c r="C34" s="144"/>
      <c r="D34" s="144"/>
      <c r="E34" s="174"/>
      <c r="F34" s="167"/>
      <c r="G34" s="144"/>
      <c r="H34" s="145"/>
      <c r="I34" s="146"/>
      <c r="J34" s="144"/>
      <c r="K34" s="174"/>
    </row>
    <row r="35" spans="1:11">
      <c r="A35" s="248" t="s">
        <v>256</v>
      </c>
      <c r="B35" s="137">
        <v>4</v>
      </c>
      <c r="C35" s="140"/>
      <c r="D35" s="140"/>
      <c r="E35" s="141"/>
      <c r="F35" s="142"/>
      <c r="G35" s="140"/>
      <c r="H35" s="139"/>
      <c r="I35" s="143"/>
      <c r="J35" s="140"/>
      <c r="K35" s="141"/>
    </row>
    <row r="36" spans="1:11">
      <c r="A36" s="249" t="s">
        <v>242</v>
      </c>
      <c r="B36" s="180"/>
      <c r="C36" s="144">
        <v>0</v>
      </c>
      <c r="D36" s="144">
        <v>0</v>
      </c>
      <c r="E36" s="174">
        <v>0</v>
      </c>
      <c r="F36" s="167">
        <v>4390000</v>
      </c>
      <c r="G36" s="144">
        <v>969679</v>
      </c>
      <c r="H36" s="145">
        <v>969679</v>
      </c>
      <c r="I36" s="146">
        <v>5000000</v>
      </c>
      <c r="J36" s="144">
        <v>5000000</v>
      </c>
      <c r="K36" s="174">
        <v>9474100</v>
      </c>
    </row>
    <row r="37" spans="1:11">
      <c r="A37" s="249" t="s">
        <v>243</v>
      </c>
      <c r="B37" s="180"/>
      <c r="C37" s="144">
        <v>0</v>
      </c>
      <c r="D37" s="144">
        <v>0</v>
      </c>
      <c r="E37" s="174">
        <v>0</v>
      </c>
      <c r="F37" s="167">
        <v>0</v>
      </c>
      <c r="G37" s="144">
        <v>0</v>
      </c>
      <c r="H37" s="145">
        <v>0</v>
      </c>
      <c r="I37" s="146">
        <v>0</v>
      </c>
      <c r="J37" s="144">
        <v>0</v>
      </c>
      <c r="K37" s="174">
        <v>4620000</v>
      </c>
    </row>
    <row r="38" spans="1:11">
      <c r="A38" s="249" t="s">
        <v>244</v>
      </c>
      <c r="B38" s="180"/>
      <c r="C38" s="144">
        <v>6169372.620000001</v>
      </c>
      <c r="D38" s="144">
        <v>8774384.3200000003</v>
      </c>
      <c r="E38" s="174">
        <v>15104318.27</v>
      </c>
      <c r="F38" s="167">
        <v>8045055</v>
      </c>
      <c r="G38" s="144">
        <v>26428292</v>
      </c>
      <c r="H38" s="145">
        <v>26428292</v>
      </c>
      <c r="I38" s="146">
        <v>18976050</v>
      </c>
      <c r="J38" s="144">
        <v>7989950</v>
      </c>
      <c r="K38" s="174">
        <v>0</v>
      </c>
    </row>
    <row r="39" spans="1:11">
      <c r="A39" s="249" t="s">
        <v>245</v>
      </c>
      <c r="B39" s="180"/>
      <c r="C39" s="144">
        <v>10389507.719999999</v>
      </c>
      <c r="D39" s="144">
        <v>10386647.499999996</v>
      </c>
      <c r="E39" s="174">
        <v>7911237.8999999985</v>
      </c>
      <c r="F39" s="167">
        <v>6593745</v>
      </c>
      <c r="G39" s="144">
        <v>9230829</v>
      </c>
      <c r="H39" s="145">
        <v>9230829</v>
      </c>
      <c r="I39" s="146">
        <v>12000000</v>
      </c>
      <c r="J39" s="144">
        <v>13685200</v>
      </c>
      <c r="K39" s="174">
        <v>7485900</v>
      </c>
    </row>
    <row r="40" spans="1:11">
      <c r="A40" s="249" t="s">
        <v>246</v>
      </c>
      <c r="B40" s="180"/>
      <c r="C40" s="144">
        <v>0</v>
      </c>
      <c r="D40" s="144">
        <v>0</v>
      </c>
      <c r="E40" s="174">
        <v>0</v>
      </c>
      <c r="F40" s="167">
        <v>0</v>
      </c>
      <c r="G40" s="144">
        <v>0</v>
      </c>
      <c r="H40" s="145">
        <v>0</v>
      </c>
      <c r="I40" s="146">
        <v>0</v>
      </c>
      <c r="J40" s="144">
        <v>0</v>
      </c>
      <c r="K40" s="174">
        <v>0</v>
      </c>
    </row>
    <row r="41" spans="1:11">
      <c r="A41" s="237" t="s">
        <v>247</v>
      </c>
      <c r="B41" s="180"/>
      <c r="C41" s="210">
        <v>16558880.34</v>
      </c>
      <c r="D41" s="210">
        <v>19161031.819999997</v>
      </c>
      <c r="E41" s="211">
        <v>23015556.169999998</v>
      </c>
      <c r="F41" s="212">
        <v>19028800</v>
      </c>
      <c r="G41" s="210">
        <v>36628800</v>
      </c>
      <c r="H41" s="213">
        <v>36628800</v>
      </c>
      <c r="I41" s="214">
        <v>35976050</v>
      </c>
      <c r="J41" s="210">
        <v>26675150</v>
      </c>
      <c r="K41" s="211">
        <v>21580000</v>
      </c>
    </row>
    <row r="42" spans="1:11">
      <c r="A42" s="238" t="s">
        <v>248</v>
      </c>
      <c r="B42" s="137"/>
      <c r="C42" s="144">
        <v>0</v>
      </c>
      <c r="D42" s="144">
        <v>4006100</v>
      </c>
      <c r="E42" s="141">
        <v>0</v>
      </c>
      <c r="F42" s="142">
        <v>1000000</v>
      </c>
      <c r="G42" s="140">
        <v>0</v>
      </c>
      <c r="H42" s="139">
        <v>0</v>
      </c>
      <c r="I42" s="143">
        <v>4410720</v>
      </c>
      <c r="J42" s="140">
        <v>3500000</v>
      </c>
      <c r="K42" s="141">
        <v>3500000</v>
      </c>
    </row>
    <row r="43" spans="1:11">
      <c r="A43" s="238" t="s">
        <v>249</v>
      </c>
      <c r="B43" s="137"/>
      <c r="C43" s="170">
        <v>0</v>
      </c>
      <c r="D43" s="170">
        <v>0</v>
      </c>
      <c r="E43" s="171">
        <v>0</v>
      </c>
      <c r="F43" s="176">
        <v>0</v>
      </c>
      <c r="G43" s="172">
        <v>0</v>
      </c>
      <c r="H43" s="169">
        <v>0</v>
      </c>
      <c r="I43" s="173">
        <v>0</v>
      </c>
      <c r="J43" s="172">
        <v>0</v>
      </c>
      <c r="K43" s="171">
        <v>0</v>
      </c>
    </row>
    <row r="44" spans="1:11">
      <c r="A44" s="238" t="s">
        <v>250</v>
      </c>
      <c r="B44" s="137"/>
      <c r="C44" s="144">
        <v>0</v>
      </c>
      <c r="D44" s="144">
        <v>0</v>
      </c>
      <c r="E44" s="141">
        <v>0</v>
      </c>
      <c r="F44" s="142">
        <v>0</v>
      </c>
      <c r="G44" s="140">
        <v>0</v>
      </c>
      <c r="H44" s="139">
        <v>0</v>
      </c>
      <c r="I44" s="143">
        <v>0</v>
      </c>
      <c r="J44" s="140">
        <v>0</v>
      </c>
      <c r="K44" s="141">
        <v>0</v>
      </c>
    </row>
    <row r="45" spans="1:11">
      <c r="A45" s="238" t="s">
        <v>251</v>
      </c>
      <c r="B45" s="137"/>
      <c r="C45" s="144">
        <v>1021191.3699999995</v>
      </c>
      <c r="D45" s="144">
        <v>3239231.9699999993</v>
      </c>
      <c r="E45" s="141">
        <v>1049874.3900000001</v>
      </c>
      <c r="F45" s="142">
        <v>2798550</v>
      </c>
      <c r="G45" s="140">
        <v>2863550</v>
      </c>
      <c r="H45" s="139">
        <v>2863550</v>
      </c>
      <c r="I45" s="143">
        <v>1799289</v>
      </c>
      <c r="J45" s="140">
        <v>0</v>
      </c>
      <c r="K45" s="141">
        <v>0</v>
      </c>
    </row>
    <row r="46" spans="1:11">
      <c r="A46" s="250" t="s">
        <v>252</v>
      </c>
      <c r="B46" s="137"/>
      <c r="C46" s="144">
        <v>0</v>
      </c>
      <c r="D46" s="144">
        <v>0</v>
      </c>
      <c r="E46" s="141">
        <v>0</v>
      </c>
      <c r="F46" s="142">
        <v>0</v>
      </c>
      <c r="G46" s="140">
        <v>0</v>
      </c>
      <c r="H46" s="139">
        <v>0</v>
      </c>
      <c r="I46" s="143">
        <v>0</v>
      </c>
      <c r="J46" s="140">
        <v>0</v>
      </c>
      <c r="K46" s="141">
        <v>0</v>
      </c>
    </row>
    <row r="47" spans="1:11">
      <c r="A47" s="238" t="s">
        <v>253</v>
      </c>
      <c r="B47" s="137"/>
      <c r="C47" s="144">
        <v>0</v>
      </c>
      <c r="D47" s="144">
        <v>0</v>
      </c>
      <c r="E47" s="141">
        <v>0</v>
      </c>
      <c r="F47" s="142">
        <v>0</v>
      </c>
      <c r="G47" s="140">
        <v>0</v>
      </c>
      <c r="H47" s="139">
        <v>0</v>
      </c>
      <c r="I47" s="143">
        <v>0</v>
      </c>
      <c r="J47" s="140">
        <v>0</v>
      </c>
      <c r="K47" s="141">
        <v>0</v>
      </c>
    </row>
    <row r="48" spans="1:11">
      <c r="A48" s="238" t="s">
        <v>254</v>
      </c>
      <c r="B48" s="137"/>
      <c r="C48" s="144">
        <v>0</v>
      </c>
      <c r="D48" s="144">
        <v>0</v>
      </c>
      <c r="E48" s="141">
        <v>0</v>
      </c>
      <c r="F48" s="142">
        <v>0</v>
      </c>
      <c r="G48" s="140">
        <v>0</v>
      </c>
      <c r="H48" s="139">
        <v>0</v>
      </c>
      <c r="I48" s="143">
        <v>0</v>
      </c>
      <c r="J48" s="140">
        <v>0</v>
      </c>
      <c r="K48" s="141">
        <v>0</v>
      </c>
    </row>
    <row r="49" spans="1:11">
      <c r="A49" s="251" t="s">
        <v>257</v>
      </c>
      <c r="B49" s="158">
        <v>2</v>
      </c>
      <c r="C49" s="161">
        <v>17580071.710000001</v>
      </c>
      <c r="D49" s="161">
        <v>26406363.789999995</v>
      </c>
      <c r="E49" s="159">
        <v>24065430.559999999</v>
      </c>
      <c r="F49" s="160">
        <v>22827350</v>
      </c>
      <c r="G49" s="161">
        <v>39492350</v>
      </c>
      <c r="H49" s="162">
        <v>39492350</v>
      </c>
      <c r="I49" s="163">
        <v>42186059</v>
      </c>
      <c r="J49" s="161">
        <v>30175150</v>
      </c>
      <c r="K49" s="159">
        <v>25080000</v>
      </c>
    </row>
    <row r="50" spans="1:11">
      <c r="A50" s="166"/>
      <c r="B50" s="137"/>
      <c r="C50" s="140"/>
      <c r="D50" s="140"/>
      <c r="E50" s="141"/>
      <c r="F50" s="142"/>
      <c r="G50" s="140"/>
      <c r="H50" s="139"/>
      <c r="I50" s="143"/>
      <c r="J50" s="140"/>
      <c r="K50" s="141"/>
    </row>
    <row r="51" spans="1:11">
      <c r="A51" s="178" t="s">
        <v>258</v>
      </c>
      <c r="B51" s="137">
        <v>5</v>
      </c>
      <c r="C51" s="140"/>
      <c r="D51" s="140"/>
      <c r="E51" s="141"/>
      <c r="F51" s="142"/>
      <c r="G51" s="140"/>
      <c r="H51" s="139"/>
      <c r="I51" s="143"/>
      <c r="J51" s="140"/>
      <c r="K51" s="141"/>
    </row>
    <row r="52" spans="1:11">
      <c r="A52" s="246" t="s">
        <v>242</v>
      </c>
      <c r="B52" s="180"/>
      <c r="C52" s="253"/>
      <c r="D52" s="253"/>
      <c r="E52" s="254">
        <v>55828512.659999996</v>
      </c>
      <c r="F52" s="256">
        <v>4113740</v>
      </c>
      <c r="G52" s="253">
        <v>4113740</v>
      </c>
      <c r="H52" s="257">
        <v>4113740</v>
      </c>
      <c r="I52" s="254">
        <v>55828513</v>
      </c>
      <c r="J52" s="253"/>
      <c r="K52" s="255"/>
    </row>
    <row r="53" spans="1:11">
      <c r="A53" s="246" t="s">
        <v>243</v>
      </c>
      <c r="B53" s="180"/>
      <c r="C53" s="253"/>
      <c r="D53" s="253"/>
      <c r="E53" s="254">
        <v>12092387.84</v>
      </c>
      <c r="F53" s="256"/>
      <c r="G53" s="253">
        <v>0</v>
      </c>
      <c r="H53" s="257">
        <v>0</v>
      </c>
      <c r="I53" s="254">
        <v>12092388</v>
      </c>
      <c r="J53" s="253"/>
      <c r="K53" s="255"/>
    </row>
    <row r="54" spans="1:11">
      <c r="A54" s="246" t="s">
        <v>244</v>
      </c>
      <c r="B54" s="180"/>
      <c r="C54" s="253">
        <v>6169373</v>
      </c>
      <c r="D54" s="253">
        <v>14943757.32</v>
      </c>
      <c r="E54" s="254">
        <v>62570833.859999999</v>
      </c>
      <c r="F54" s="256">
        <v>22290868.32</v>
      </c>
      <c r="G54" s="253">
        <v>22290868.32</v>
      </c>
      <c r="H54" s="257">
        <v>22290868.32</v>
      </c>
      <c r="I54" s="254">
        <v>62570833.859999999</v>
      </c>
      <c r="J54" s="253"/>
      <c r="K54" s="255"/>
    </row>
    <row r="55" spans="1:11">
      <c r="A55" s="246" t="s">
        <v>245</v>
      </c>
      <c r="B55" s="180"/>
      <c r="C55" s="253">
        <v>10389508</v>
      </c>
      <c r="D55" s="253">
        <v>20776155.499999996</v>
      </c>
      <c r="E55" s="254">
        <v>87801221.390000001</v>
      </c>
      <c r="F55" s="256">
        <v>32666896.5</v>
      </c>
      <c r="G55" s="253">
        <v>32666896.5</v>
      </c>
      <c r="H55" s="257">
        <v>32666896.5</v>
      </c>
      <c r="I55" s="254">
        <v>87801221</v>
      </c>
      <c r="J55" s="253"/>
      <c r="K55" s="255"/>
    </row>
    <row r="56" spans="1:11">
      <c r="A56" s="246" t="s">
        <v>246</v>
      </c>
      <c r="B56" s="180"/>
      <c r="C56" s="253"/>
      <c r="D56" s="253"/>
      <c r="E56" s="254">
        <v>85103864.719999999</v>
      </c>
      <c r="F56" s="256"/>
      <c r="G56" s="253"/>
      <c r="H56" s="257"/>
      <c r="I56" s="254">
        <v>85103865</v>
      </c>
      <c r="J56" s="253"/>
      <c r="K56" s="255"/>
    </row>
    <row r="57" spans="1:11">
      <c r="A57" s="168" t="s">
        <v>247</v>
      </c>
      <c r="B57" s="180"/>
      <c r="C57" s="225">
        <v>16558881</v>
      </c>
      <c r="D57" s="225">
        <v>35719912.819999993</v>
      </c>
      <c r="E57" s="226">
        <v>303396820.47000003</v>
      </c>
      <c r="F57" s="227">
        <v>59071504.82</v>
      </c>
      <c r="G57" s="225">
        <v>59071504.82</v>
      </c>
      <c r="H57" s="228">
        <v>59071504.82</v>
      </c>
      <c r="I57" s="229">
        <v>303396820.86000001</v>
      </c>
      <c r="J57" s="225">
        <v>0</v>
      </c>
      <c r="K57" s="226">
        <v>0</v>
      </c>
    </row>
    <row r="58" spans="1:11">
      <c r="A58" s="166" t="s">
        <v>248</v>
      </c>
      <c r="B58" s="137"/>
      <c r="C58" s="253"/>
      <c r="D58" s="253"/>
      <c r="E58" s="254">
        <v>537681.48</v>
      </c>
      <c r="F58" s="256">
        <v>936986</v>
      </c>
      <c r="G58" s="253">
        <v>936986</v>
      </c>
      <c r="H58" s="257">
        <v>936986</v>
      </c>
      <c r="I58" s="254">
        <v>537681.48</v>
      </c>
      <c r="J58" s="253"/>
      <c r="K58" s="255"/>
    </row>
    <row r="59" spans="1:11">
      <c r="A59" s="166" t="s">
        <v>249</v>
      </c>
      <c r="B59" s="137"/>
      <c r="C59" s="258"/>
      <c r="D59" s="258"/>
      <c r="E59" s="259"/>
      <c r="F59" s="260"/>
      <c r="G59" s="258"/>
      <c r="H59" s="261"/>
      <c r="I59" s="262"/>
      <c r="J59" s="258"/>
      <c r="K59" s="259"/>
    </row>
    <row r="60" spans="1:11">
      <c r="A60" s="166" t="s">
        <v>250</v>
      </c>
      <c r="B60" s="137"/>
      <c r="C60" s="215">
        <v>0</v>
      </c>
      <c r="D60" s="215">
        <v>0</v>
      </c>
      <c r="E60" s="216">
        <v>42174306</v>
      </c>
      <c r="F60" s="217">
        <v>0</v>
      </c>
      <c r="G60" s="215">
        <v>0</v>
      </c>
      <c r="H60" s="218">
        <v>0</v>
      </c>
      <c r="I60" s="219">
        <v>0</v>
      </c>
      <c r="J60" s="215">
        <v>0</v>
      </c>
      <c r="K60" s="216">
        <v>0</v>
      </c>
    </row>
    <row r="61" spans="1:11">
      <c r="A61" s="166" t="s">
        <v>251</v>
      </c>
      <c r="B61" s="137"/>
      <c r="C61" s="253">
        <v>1021192</v>
      </c>
      <c r="D61" s="253">
        <v>8266524</v>
      </c>
      <c r="E61" s="254">
        <v>6145748</v>
      </c>
      <c r="F61" s="256">
        <v>9977509</v>
      </c>
      <c r="G61" s="253">
        <v>9977509</v>
      </c>
      <c r="H61" s="257">
        <v>9977509</v>
      </c>
      <c r="I61" s="254">
        <v>6145747</v>
      </c>
      <c r="J61" s="253"/>
      <c r="K61" s="255"/>
    </row>
    <row r="62" spans="1:11">
      <c r="A62" s="138" t="s">
        <v>252</v>
      </c>
      <c r="B62" s="137"/>
      <c r="C62" s="215">
        <v>0</v>
      </c>
      <c r="D62" s="215">
        <v>0</v>
      </c>
      <c r="E62" s="216">
        <v>0</v>
      </c>
      <c r="F62" s="217">
        <v>0</v>
      </c>
      <c r="G62" s="215">
        <v>0</v>
      </c>
      <c r="H62" s="218">
        <v>0</v>
      </c>
      <c r="I62" s="219">
        <v>0</v>
      </c>
      <c r="J62" s="215">
        <v>0</v>
      </c>
      <c r="K62" s="216">
        <v>0</v>
      </c>
    </row>
    <row r="63" spans="1:11">
      <c r="A63" s="166" t="s">
        <v>253</v>
      </c>
      <c r="B63" s="137"/>
      <c r="C63" s="215">
        <v>0</v>
      </c>
      <c r="D63" s="215">
        <v>0</v>
      </c>
      <c r="E63" s="216">
        <v>0</v>
      </c>
      <c r="F63" s="217">
        <v>0</v>
      </c>
      <c r="G63" s="215">
        <v>0</v>
      </c>
      <c r="H63" s="218">
        <v>0</v>
      </c>
      <c r="I63" s="219">
        <v>0</v>
      </c>
      <c r="J63" s="215">
        <v>0</v>
      </c>
      <c r="K63" s="216">
        <v>0</v>
      </c>
    </row>
    <row r="64" spans="1:11">
      <c r="A64" s="166" t="s">
        <v>254</v>
      </c>
      <c r="B64" s="137"/>
      <c r="C64" s="215">
        <v>0</v>
      </c>
      <c r="D64" s="215">
        <v>0</v>
      </c>
      <c r="E64" s="216">
        <v>1448260.8699999996</v>
      </c>
      <c r="F64" s="217">
        <v>0</v>
      </c>
      <c r="G64" s="215">
        <v>0</v>
      </c>
      <c r="H64" s="218">
        <v>0</v>
      </c>
      <c r="I64" s="219">
        <v>0</v>
      </c>
      <c r="J64" s="215">
        <v>0</v>
      </c>
      <c r="K64" s="216">
        <v>0</v>
      </c>
    </row>
    <row r="65" spans="1:11">
      <c r="A65" s="251" t="s">
        <v>259</v>
      </c>
      <c r="B65" s="158">
        <v>5</v>
      </c>
      <c r="C65" s="161">
        <v>17580073</v>
      </c>
      <c r="D65" s="161">
        <v>43986436.819999993</v>
      </c>
      <c r="E65" s="159">
        <v>353702816.82000005</v>
      </c>
      <c r="F65" s="160">
        <v>69985999.819999993</v>
      </c>
      <c r="G65" s="161">
        <v>69985999.819999993</v>
      </c>
      <c r="H65" s="162">
        <v>69985999.819999993</v>
      </c>
      <c r="I65" s="181">
        <v>310080249.34000003</v>
      </c>
      <c r="J65" s="161">
        <v>0</v>
      </c>
      <c r="K65" s="159">
        <v>0</v>
      </c>
    </row>
    <row r="66" spans="1:11">
      <c r="A66" s="166"/>
      <c r="B66" s="137"/>
      <c r="C66" s="140"/>
      <c r="D66" s="140"/>
      <c r="E66" s="141"/>
      <c r="F66" s="142"/>
      <c r="G66" s="140"/>
      <c r="H66" s="139"/>
      <c r="I66" s="143"/>
      <c r="J66" s="140"/>
      <c r="K66" s="141"/>
    </row>
    <row r="67" spans="1:11">
      <c r="A67" s="185" t="s">
        <v>260</v>
      </c>
      <c r="B67" s="137"/>
      <c r="C67" s="153"/>
      <c r="D67" s="153"/>
      <c r="E67" s="154"/>
      <c r="F67" s="155"/>
      <c r="G67" s="153"/>
      <c r="H67" s="152"/>
      <c r="I67" s="156"/>
      <c r="J67" s="153"/>
      <c r="K67" s="154"/>
    </row>
    <row r="68" spans="1:11">
      <c r="A68" s="235" t="s">
        <v>24</v>
      </c>
      <c r="B68" s="137"/>
      <c r="C68" s="140">
        <v>0</v>
      </c>
      <c r="D68" s="140">
        <v>0</v>
      </c>
      <c r="E68" s="141">
        <v>17098687</v>
      </c>
      <c r="F68" s="142">
        <v>4700000</v>
      </c>
      <c r="G68" s="140">
        <v>15000000</v>
      </c>
      <c r="H68" s="139">
        <v>15000000</v>
      </c>
      <c r="I68" s="143">
        <v>7500000</v>
      </c>
      <c r="J68" s="140">
        <v>7500000</v>
      </c>
      <c r="K68" s="141">
        <v>7500000</v>
      </c>
    </row>
    <row r="69" spans="1:11">
      <c r="A69" s="235" t="s">
        <v>261</v>
      </c>
      <c r="B69" s="137">
        <v>3</v>
      </c>
      <c r="C69" s="140">
        <v>3376149.15</v>
      </c>
      <c r="D69" s="140">
        <v>2730101</v>
      </c>
      <c r="E69" s="141">
        <v>0</v>
      </c>
      <c r="F69" s="142">
        <v>6443461.9498999994</v>
      </c>
      <c r="G69" s="140">
        <v>4943461.9498999994</v>
      </c>
      <c r="H69" s="139">
        <v>4943461.9498999994</v>
      </c>
      <c r="I69" s="143">
        <v>7132331</v>
      </c>
      <c r="J69" s="140">
        <v>7527531.5640000002</v>
      </c>
      <c r="K69" s="141">
        <v>7922077.2124700006</v>
      </c>
    </row>
    <row r="70" spans="1:11">
      <c r="A70" s="246" t="s">
        <v>242</v>
      </c>
      <c r="B70" s="180"/>
      <c r="C70" s="215">
        <v>0</v>
      </c>
      <c r="D70" s="215">
        <v>153072</v>
      </c>
      <c r="E70" s="216">
        <v>0</v>
      </c>
      <c r="F70" s="217">
        <v>1935000</v>
      </c>
      <c r="G70" s="215">
        <v>935000</v>
      </c>
      <c r="H70" s="218">
        <v>935000</v>
      </c>
      <c r="I70" s="219">
        <v>2051100</v>
      </c>
      <c r="J70" s="215">
        <v>2159808.2999999998</v>
      </c>
      <c r="K70" s="216">
        <v>2265638.9066999997</v>
      </c>
    </row>
    <row r="71" spans="1:11">
      <c r="A71" s="246" t="s">
        <v>243</v>
      </c>
      <c r="B71" s="180"/>
      <c r="C71" s="215">
        <v>0</v>
      </c>
      <c r="D71" s="215">
        <v>588999</v>
      </c>
      <c r="E71" s="216">
        <v>0</v>
      </c>
      <c r="F71" s="217">
        <v>740000</v>
      </c>
      <c r="G71" s="215">
        <v>740000</v>
      </c>
      <c r="H71" s="218">
        <v>740000</v>
      </c>
      <c r="I71" s="219">
        <v>799205</v>
      </c>
      <c r="J71" s="215">
        <v>859842.64999999991</v>
      </c>
      <c r="K71" s="216">
        <v>923705.44449999998</v>
      </c>
    </row>
    <row r="72" spans="1:11">
      <c r="A72" s="246" t="s">
        <v>244</v>
      </c>
      <c r="B72" s="180"/>
      <c r="C72" s="215">
        <v>0</v>
      </c>
      <c r="D72" s="215">
        <v>228735</v>
      </c>
      <c r="E72" s="216">
        <v>0</v>
      </c>
      <c r="F72" s="217">
        <v>686965.94990000001</v>
      </c>
      <c r="G72" s="215">
        <v>686965.94990000001</v>
      </c>
      <c r="H72" s="218">
        <v>686965.94990000001</v>
      </c>
      <c r="I72" s="219">
        <v>846984</v>
      </c>
      <c r="J72" s="215">
        <v>891543.38800000004</v>
      </c>
      <c r="K72" s="216">
        <v>936272.90519600001</v>
      </c>
    </row>
    <row r="73" spans="1:11">
      <c r="A73" s="246" t="s">
        <v>245</v>
      </c>
      <c r="B73" s="180"/>
      <c r="C73" s="215">
        <v>0</v>
      </c>
      <c r="D73" s="215">
        <v>98988</v>
      </c>
      <c r="E73" s="216">
        <v>0</v>
      </c>
      <c r="F73" s="217">
        <v>1010000</v>
      </c>
      <c r="G73" s="215">
        <v>510000</v>
      </c>
      <c r="H73" s="218">
        <v>510000</v>
      </c>
      <c r="I73" s="219">
        <v>964600</v>
      </c>
      <c r="J73" s="215">
        <v>1014759.2</v>
      </c>
      <c r="K73" s="216">
        <v>1067526.6784000001</v>
      </c>
    </row>
    <row r="74" spans="1:11">
      <c r="A74" s="246" t="s">
        <v>246</v>
      </c>
      <c r="B74" s="180"/>
      <c r="C74" s="215">
        <v>0</v>
      </c>
      <c r="D74" s="215">
        <v>366147</v>
      </c>
      <c r="E74" s="216">
        <v>0</v>
      </c>
      <c r="F74" s="217">
        <v>505000</v>
      </c>
      <c r="G74" s="215">
        <v>505000</v>
      </c>
      <c r="H74" s="218">
        <v>505000</v>
      </c>
      <c r="I74" s="219">
        <v>535300</v>
      </c>
      <c r="J74" s="215">
        <v>563670.9</v>
      </c>
      <c r="K74" s="216">
        <v>591290.77409999992</v>
      </c>
    </row>
    <row r="75" spans="1:11">
      <c r="A75" s="182" t="s">
        <v>247</v>
      </c>
      <c r="B75" s="180"/>
      <c r="C75" s="210">
        <v>0</v>
      </c>
      <c r="D75" s="210">
        <v>1435941</v>
      </c>
      <c r="E75" s="211">
        <v>0</v>
      </c>
      <c r="F75" s="212">
        <v>4876965.9498999994</v>
      </c>
      <c r="G75" s="210">
        <v>3376965.9498999999</v>
      </c>
      <c r="H75" s="213">
        <v>3376965.9498999999</v>
      </c>
      <c r="I75" s="214">
        <v>5197189</v>
      </c>
      <c r="J75" s="210">
        <v>5489624.4380000001</v>
      </c>
      <c r="K75" s="211">
        <v>5784434.7088959999</v>
      </c>
    </row>
    <row r="76" spans="1:11">
      <c r="A76" s="183" t="s">
        <v>248</v>
      </c>
      <c r="B76" s="137"/>
      <c r="C76" s="215">
        <v>0</v>
      </c>
      <c r="D76" s="215">
        <v>882419</v>
      </c>
      <c r="E76" s="216">
        <v>0</v>
      </c>
      <c r="F76" s="217">
        <v>785690</v>
      </c>
      <c r="G76" s="215">
        <v>785690</v>
      </c>
      <c r="H76" s="218">
        <v>785690</v>
      </c>
      <c r="I76" s="219">
        <v>893966</v>
      </c>
      <c r="J76" s="215">
        <v>941548.79800000007</v>
      </c>
      <c r="K76" s="216">
        <v>987562.61750199995</v>
      </c>
    </row>
    <row r="77" spans="1:11">
      <c r="A77" s="183" t="s">
        <v>249</v>
      </c>
      <c r="B77" s="137"/>
      <c r="C77" s="240">
        <v>0</v>
      </c>
      <c r="D77" s="240">
        <v>0</v>
      </c>
      <c r="E77" s="241">
        <v>0</v>
      </c>
      <c r="F77" s="242">
        <v>0</v>
      </c>
      <c r="G77" s="240">
        <v>0</v>
      </c>
      <c r="H77" s="243">
        <v>0</v>
      </c>
      <c r="I77" s="244">
        <v>0</v>
      </c>
      <c r="J77" s="240">
        <v>0</v>
      </c>
      <c r="K77" s="241">
        <v>0</v>
      </c>
    </row>
    <row r="78" spans="1:11">
      <c r="A78" s="183" t="s">
        <v>250</v>
      </c>
      <c r="B78" s="137"/>
      <c r="C78" s="215">
        <v>0</v>
      </c>
      <c r="D78" s="215">
        <v>0</v>
      </c>
      <c r="E78" s="216">
        <v>0</v>
      </c>
      <c r="F78" s="217">
        <v>0</v>
      </c>
      <c r="G78" s="215">
        <v>0</v>
      </c>
      <c r="H78" s="218">
        <v>0</v>
      </c>
      <c r="I78" s="219">
        <v>0</v>
      </c>
      <c r="J78" s="215">
        <v>0</v>
      </c>
      <c r="K78" s="216">
        <v>0</v>
      </c>
    </row>
    <row r="79" spans="1:11">
      <c r="A79" s="183" t="s">
        <v>251</v>
      </c>
      <c r="B79" s="137" t="s">
        <v>262</v>
      </c>
      <c r="C79" s="215">
        <v>3376149.15</v>
      </c>
      <c r="D79" s="215">
        <v>411741</v>
      </c>
      <c r="E79" s="216">
        <v>0</v>
      </c>
      <c r="F79" s="217">
        <v>780806</v>
      </c>
      <c r="G79" s="215">
        <v>780806</v>
      </c>
      <c r="H79" s="218">
        <v>780806</v>
      </c>
      <c r="I79" s="219">
        <v>1041176</v>
      </c>
      <c r="J79" s="215">
        <v>1096358.328</v>
      </c>
      <c r="K79" s="216">
        <v>1150079.886072</v>
      </c>
    </row>
    <row r="80" spans="1:11">
      <c r="A80" s="157" t="s">
        <v>263</v>
      </c>
      <c r="B80" s="158"/>
      <c r="C80" s="148">
        <v>3376149.15</v>
      </c>
      <c r="D80" s="148">
        <v>2730101</v>
      </c>
      <c r="E80" s="149">
        <v>17098687</v>
      </c>
      <c r="F80" s="150">
        <v>11143461.949899999</v>
      </c>
      <c r="G80" s="148">
        <v>19943461.949900001</v>
      </c>
      <c r="H80" s="147">
        <v>19943461.949900001</v>
      </c>
      <c r="I80" s="151">
        <v>14632331</v>
      </c>
      <c r="J80" s="148">
        <v>15027531.563999999</v>
      </c>
      <c r="K80" s="149">
        <v>15422077.212470001</v>
      </c>
    </row>
    <row r="81" spans="1:11">
      <c r="A81" s="252"/>
      <c r="B81" s="207"/>
      <c r="C81" s="230"/>
      <c r="D81" s="230"/>
      <c r="E81" s="231"/>
      <c r="F81" s="232"/>
      <c r="G81" s="230"/>
      <c r="H81" s="233"/>
      <c r="I81" s="234"/>
      <c r="J81" s="230"/>
      <c r="K81" s="231"/>
    </row>
    <row r="82" spans="1:11">
      <c r="A82" s="186" t="s">
        <v>264</v>
      </c>
      <c r="B82" s="187"/>
      <c r="C82" s="188">
        <v>0</v>
      </c>
      <c r="D82" s="188">
        <v>0</v>
      </c>
      <c r="E82" s="189">
        <v>0</v>
      </c>
      <c r="F82" s="190">
        <v>0.82373994353264834</v>
      </c>
      <c r="G82" s="188">
        <v>0.89647235477250653</v>
      </c>
      <c r="H82" s="191">
        <v>0.89647235477250653</v>
      </c>
      <c r="I82" s="192">
        <v>0.45038575421325799</v>
      </c>
      <c r="J82" s="188">
        <v>0.69213243347588993</v>
      </c>
      <c r="K82" s="189">
        <v>0.81578947368421051</v>
      </c>
    </row>
    <row r="83" spans="1:11">
      <c r="A83" s="186" t="s">
        <v>265</v>
      </c>
      <c r="B83" s="187"/>
      <c r="C83" s="188">
        <v>0</v>
      </c>
      <c r="D83" s="188">
        <v>0</v>
      </c>
      <c r="E83" s="189">
        <v>0</v>
      </c>
      <c r="F83" s="190">
        <v>4.000808510638298</v>
      </c>
      <c r="G83" s="188">
        <v>2.3602533333333335</v>
      </c>
      <c r="H83" s="191">
        <v>2.3602533333333335</v>
      </c>
      <c r="I83" s="192">
        <v>2.5333333333333332</v>
      </c>
      <c r="J83" s="188">
        <v>2.7846933333333332</v>
      </c>
      <c r="K83" s="189">
        <v>2.7280000000000002</v>
      </c>
    </row>
    <row r="84" spans="1:11">
      <c r="A84" s="186" t="s">
        <v>266</v>
      </c>
      <c r="B84" s="187"/>
      <c r="C84" s="188">
        <v>0.192</v>
      </c>
      <c r="D84" s="188">
        <v>6.2E-2</v>
      </c>
      <c r="E84" s="189">
        <v>0</v>
      </c>
      <c r="F84" s="190">
        <v>9.1999999999999998E-2</v>
      </c>
      <c r="G84" s="188">
        <v>1.4999999999999999E-2</v>
      </c>
      <c r="H84" s="191">
        <v>1.4999999999999999E-2</v>
      </c>
      <c r="I84" s="192">
        <v>1.9E-2</v>
      </c>
      <c r="J84" s="188">
        <v>1.9E-2</v>
      </c>
      <c r="K84" s="189">
        <v>1.9E-2</v>
      </c>
    </row>
    <row r="85" spans="1:11">
      <c r="A85" s="186" t="s">
        <v>267</v>
      </c>
      <c r="B85" s="187"/>
      <c r="C85" s="188">
        <v>0.19</v>
      </c>
      <c r="D85" s="188">
        <v>0.06</v>
      </c>
      <c r="E85" s="189">
        <v>0</v>
      </c>
      <c r="F85" s="190">
        <v>0.36</v>
      </c>
      <c r="G85" s="188">
        <v>0.57999999999999996</v>
      </c>
      <c r="H85" s="191">
        <v>0.57999999999999996</v>
      </c>
      <c r="I85" s="192">
        <v>0.08</v>
      </c>
      <c r="J85" s="188">
        <v>0</v>
      </c>
      <c r="K85" s="189">
        <v>0</v>
      </c>
    </row>
    <row r="86" spans="1:11">
      <c r="A86" s="193"/>
      <c r="B86" s="194"/>
      <c r="C86" s="195"/>
      <c r="D86" s="195"/>
      <c r="E86" s="196"/>
      <c r="F86" s="197"/>
      <c r="G86" s="195"/>
      <c r="H86" s="198"/>
      <c r="I86" s="199"/>
      <c r="J86" s="195"/>
      <c r="K86" s="196"/>
    </row>
    <row r="87" spans="1:11">
      <c r="A87" s="165"/>
      <c r="B87" s="165"/>
      <c r="C87" s="165"/>
      <c r="D87" s="165"/>
      <c r="E87" s="165"/>
      <c r="F87" s="165"/>
      <c r="G87" s="165"/>
      <c r="H87" s="133"/>
      <c r="I87" s="133"/>
      <c r="J87" s="133"/>
      <c r="K87" s="133"/>
    </row>
    <row r="88" spans="1:11">
      <c r="A88" s="165"/>
      <c r="B88" s="165"/>
      <c r="C88" s="165"/>
      <c r="D88" s="165"/>
      <c r="E88" s="165"/>
      <c r="F88" s="165"/>
      <c r="G88" s="165"/>
    </row>
    <row r="89" spans="1:11">
      <c r="A89" s="165"/>
      <c r="B89" s="165"/>
      <c r="C89" s="165"/>
      <c r="D89" s="165"/>
      <c r="E89" s="165"/>
      <c r="F89" s="165"/>
      <c r="G89" s="165"/>
    </row>
    <row r="90" spans="1:11">
      <c r="A90" s="165"/>
      <c r="B90" s="164"/>
      <c r="C90" s="165"/>
      <c r="D90" s="165"/>
      <c r="E90" s="165"/>
      <c r="F90" s="165"/>
      <c r="G90" s="165"/>
    </row>
    <row r="91" spans="1:11">
      <c r="A91" s="133"/>
      <c r="B91" s="133"/>
      <c r="C91" s="133"/>
      <c r="D91" s="133"/>
      <c r="E91" s="133"/>
      <c r="F91" s="133"/>
      <c r="G91" s="133"/>
    </row>
    <row r="92" spans="1:11">
      <c r="A92" s="133"/>
      <c r="B92" s="133"/>
      <c r="C92" s="133"/>
      <c r="D92" s="133"/>
      <c r="E92" s="133"/>
      <c r="F92" s="133"/>
      <c r="G92" s="133"/>
    </row>
    <row r="93" spans="1:11">
      <c r="A93" s="133"/>
      <c r="B93" s="133"/>
      <c r="C93" s="133"/>
      <c r="D93" s="133"/>
      <c r="E93" s="133"/>
      <c r="F93" s="133"/>
      <c r="G93" s="133"/>
    </row>
    <row r="94" spans="1:11">
      <c r="A94" s="133"/>
      <c r="B94" s="133"/>
      <c r="C94" s="133"/>
      <c r="D94" s="133"/>
      <c r="E94" s="133"/>
      <c r="F94" s="133"/>
      <c r="G94" s="133"/>
    </row>
    <row r="95" spans="1:11">
      <c r="A95" s="133"/>
      <c r="B95" s="133"/>
      <c r="C95" s="133"/>
      <c r="D95" s="133"/>
      <c r="E95" s="133"/>
      <c r="F95" s="133"/>
      <c r="G95" s="133"/>
    </row>
    <row r="96" spans="1:11">
      <c r="A96" s="133"/>
      <c r="B96" s="133"/>
      <c r="C96" s="133"/>
      <c r="D96" s="133"/>
      <c r="E96" s="133"/>
      <c r="F96" s="133"/>
      <c r="G96" s="133"/>
    </row>
    <row r="97" spans="1:7">
      <c r="A97" s="133"/>
      <c r="B97" s="133"/>
      <c r="C97" s="133"/>
      <c r="D97" s="133"/>
      <c r="E97" s="133"/>
      <c r="F97" s="133"/>
      <c r="G97" s="133"/>
    </row>
    <row r="98" spans="1:7">
      <c r="A98" s="133"/>
      <c r="B98" s="133"/>
      <c r="C98" s="133"/>
      <c r="D98" s="133"/>
      <c r="E98" s="133"/>
      <c r="F98" s="133"/>
      <c r="G98" s="133"/>
    </row>
    <row r="99" spans="1:7">
      <c r="A99" s="133"/>
      <c r="B99" s="133"/>
      <c r="C99" s="133"/>
      <c r="D99" s="133"/>
      <c r="E99" s="133"/>
      <c r="F99" s="133"/>
      <c r="G99" s="133"/>
    </row>
    <row r="100" spans="1:7">
      <c r="A100" s="133"/>
      <c r="B100" s="133"/>
      <c r="C100" s="133"/>
      <c r="D100" s="133"/>
      <c r="E100" s="133"/>
      <c r="F100" s="133"/>
      <c r="G100" s="133"/>
    </row>
    <row r="101" spans="1:7">
      <c r="A101" s="133"/>
      <c r="B101" s="133"/>
      <c r="C101" s="133"/>
      <c r="D101" s="133"/>
      <c r="E101" s="133"/>
      <c r="F101" s="133"/>
      <c r="G101" s="133"/>
    </row>
    <row r="102" spans="1:7">
      <c r="A102" s="133"/>
      <c r="B102" s="133"/>
      <c r="C102" s="133"/>
      <c r="D102" s="133"/>
      <c r="E102" s="133"/>
      <c r="F102" s="133"/>
      <c r="G102" s="133"/>
    </row>
    <row r="103" spans="1:7">
      <c r="A103" s="133"/>
      <c r="B103" s="133"/>
      <c r="C103" s="133"/>
      <c r="D103" s="133"/>
      <c r="E103" s="133"/>
      <c r="F103" s="133"/>
      <c r="G103" s="133"/>
    </row>
  </sheetData>
  <mergeCells count="2">
    <mergeCell ref="F2:H2"/>
    <mergeCell ref="I2: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87"/>
  <sheetViews>
    <sheetView topLeftCell="A60" workbookViewId="0">
      <selection activeCell="A80" sqref="A80"/>
    </sheetView>
  </sheetViews>
  <sheetFormatPr defaultRowHeight="15"/>
  <cols>
    <col min="1" max="1" width="34" customWidth="1"/>
    <col min="2" max="2" width="5.28515625" customWidth="1"/>
  </cols>
  <sheetData>
    <row r="1" spans="1:13">
      <c r="A1" s="271" t="s">
        <v>268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2"/>
      <c r="M1" s="272"/>
    </row>
    <row r="2" spans="1:13">
      <c r="A2" s="1431" t="s">
        <v>0</v>
      </c>
      <c r="B2" s="1433" t="s">
        <v>67</v>
      </c>
      <c r="C2" s="273" t="s">
        <v>1</v>
      </c>
      <c r="D2" s="273" t="s">
        <v>2</v>
      </c>
      <c r="E2" s="274" t="s">
        <v>3</v>
      </c>
      <c r="F2" s="1425" t="s">
        <v>4</v>
      </c>
      <c r="G2" s="1426"/>
      <c r="H2" s="1427"/>
      <c r="I2" s="1428" t="s">
        <v>5</v>
      </c>
      <c r="J2" s="1429"/>
      <c r="K2" s="1430"/>
      <c r="L2" s="263"/>
      <c r="M2" s="263"/>
    </row>
    <row r="3" spans="1:13" ht="25.5">
      <c r="A3" s="1432"/>
      <c r="B3" s="1434"/>
      <c r="C3" s="275" t="s">
        <v>269</v>
      </c>
      <c r="D3" s="275" t="s">
        <v>269</v>
      </c>
      <c r="E3" s="276" t="s">
        <v>269</v>
      </c>
      <c r="F3" s="277" t="s">
        <v>8</v>
      </c>
      <c r="G3" s="275" t="s">
        <v>9</v>
      </c>
      <c r="H3" s="276" t="s">
        <v>10</v>
      </c>
      <c r="I3" s="277" t="s">
        <v>12</v>
      </c>
      <c r="J3" s="275" t="s">
        <v>13</v>
      </c>
      <c r="K3" s="276" t="s">
        <v>14</v>
      </c>
      <c r="L3" s="263"/>
      <c r="M3" s="263"/>
    </row>
    <row r="4" spans="1:13">
      <c r="A4" s="278" t="s">
        <v>270</v>
      </c>
      <c r="B4" s="279">
        <v>1</v>
      </c>
      <c r="C4" s="368"/>
      <c r="D4" s="368"/>
      <c r="E4" s="369"/>
      <c r="F4" s="370"/>
      <c r="G4" s="368"/>
      <c r="H4" s="371"/>
      <c r="I4" s="372"/>
      <c r="J4" s="368"/>
      <c r="K4" s="369"/>
      <c r="L4" s="367"/>
      <c r="M4" s="367"/>
    </row>
    <row r="5" spans="1:13">
      <c r="A5" s="285" t="s">
        <v>63</v>
      </c>
      <c r="B5" s="279"/>
      <c r="C5" s="338"/>
      <c r="D5" s="338"/>
      <c r="E5" s="339"/>
      <c r="F5" s="340"/>
      <c r="G5" s="338"/>
      <c r="H5" s="341"/>
      <c r="I5" s="342"/>
      <c r="J5" s="338"/>
      <c r="K5" s="339"/>
      <c r="L5" s="367"/>
      <c r="M5" s="367"/>
    </row>
    <row r="6" spans="1:13">
      <c r="A6" s="286" t="s">
        <v>271</v>
      </c>
      <c r="B6" s="279"/>
      <c r="C6" s="322">
        <v>3876</v>
      </c>
      <c r="D6" s="322">
        <v>4126</v>
      </c>
      <c r="E6" s="323"/>
      <c r="F6" s="343">
        <v>7152</v>
      </c>
      <c r="G6" s="322">
        <v>7152</v>
      </c>
      <c r="H6" s="325">
        <v>7152</v>
      </c>
      <c r="I6" s="326">
        <v>8446</v>
      </c>
      <c r="J6" s="322">
        <v>8446</v>
      </c>
      <c r="K6" s="323">
        <v>8446</v>
      </c>
      <c r="L6" s="315"/>
      <c r="M6" s="315"/>
    </row>
    <row r="7" spans="1:13">
      <c r="A7" s="286" t="s">
        <v>272</v>
      </c>
      <c r="B7" s="279"/>
      <c r="C7" s="322">
        <v>5055</v>
      </c>
      <c r="D7" s="322">
        <v>5055</v>
      </c>
      <c r="E7" s="323"/>
      <c r="F7" s="343">
        <v>1987</v>
      </c>
      <c r="G7" s="322">
        <v>1987</v>
      </c>
      <c r="H7" s="325">
        <v>1987</v>
      </c>
      <c r="I7" s="326">
        <v>987</v>
      </c>
      <c r="J7" s="322">
        <v>987</v>
      </c>
      <c r="K7" s="323">
        <v>987</v>
      </c>
      <c r="L7" s="315"/>
      <c r="M7" s="315"/>
    </row>
    <row r="8" spans="1:13">
      <c r="A8" s="286" t="s">
        <v>273</v>
      </c>
      <c r="B8" s="279">
        <v>2</v>
      </c>
      <c r="C8" s="322">
        <v>744</v>
      </c>
      <c r="D8" s="322">
        <v>744</v>
      </c>
      <c r="E8" s="323"/>
      <c r="F8" s="343">
        <v>1143</v>
      </c>
      <c r="G8" s="322">
        <v>1143</v>
      </c>
      <c r="H8" s="325">
        <v>1143</v>
      </c>
      <c r="I8" s="326">
        <v>3083</v>
      </c>
      <c r="J8" s="322">
        <v>3083</v>
      </c>
      <c r="K8" s="323">
        <v>3083</v>
      </c>
      <c r="L8" s="315"/>
      <c r="M8" s="315"/>
    </row>
    <row r="9" spans="1:13">
      <c r="A9" s="286" t="s">
        <v>274</v>
      </c>
      <c r="B9" s="279">
        <v>4</v>
      </c>
      <c r="C9" s="322">
        <v>153</v>
      </c>
      <c r="D9" s="322">
        <v>153</v>
      </c>
      <c r="E9" s="323"/>
      <c r="F9" s="343">
        <v>153</v>
      </c>
      <c r="G9" s="322">
        <v>153</v>
      </c>
      <c r="H9" s="325">
        <v>153</v>
      </c>
      <c r="I9" s="326">
        <v>70</v>
      </c>
      <c r="J9" s="322">
        <v>70</v>
      </c>
      <c r="K9" s="323">
        <v>70</v>
      </c>
      <c r="L9" s="315"/>
      <c r="M9" s="315"/>
    </row>
    <row r="10" spans="1:13">
      <c r="A10" s="316" t="s">
        <v>275</v>
      </c>
      <c r="B10" s="279"/>
      <c r="C10" s="344">
        <v>9828</v>
      </c>
      <c r="D10" s="344">
        <v>10078</v>
      </c>
      <c r="E10" s="345">
        <v>0</v>
      </c>
      <c r="F10" s="346">
        <v>10435</v>
      </c>
      <c r="G10" s="344">
        <v>10435</v>
      </c>
      <c r="H10" s="347">
        <v>10435</v>
      </c>
      <c r="I10" s="348">
        <v>12586</v>
      </c>
      <c r="J10" s="344">
        <v>12586</v>
      </c>
      <c r="K10" s="345">
        <v>12586</v>
      </c>
      <c r="L10" s="315"/>
      <c r="M10" s="315"/>
    </row>
    <row r="11" spans="1:13">
      <c r="A11" s="286" t="s">
        <v>276</v>
      </c>
      <c r="B11" s="279">
        <v>3</v>
      </c>
      <c r="C11" s="322">
        <v>1049</v>
      </c>
      <c r="D11" s="322">
        <v>1049</v>
      </c>
      <c r="E11" s="323"/>
      <c r="F11" s="343">
        <v>1270</v>
      </c>
      <c r="G11" s="322">
        <v>1270</v>
      </c>
      <c r="H11" s="325">
        <v>1270</v>
      </c>
      <c r="I11" s="326">
        <v>70</v>
      </c>
      <c r="J11" s="322">
        <v>70</v>
      </c>
      <c r="K11" s="323">
        <v>70</v>
      </c>
      <c r="L11" s="315"/>
      <c r="M11" s="315"/>
    </row>
    <row r="12" spans="1:13">
      <c r="A12" s="286" t="s">
        <v>277</v>
      </c>
      <c r="B12" s="279">
        <v>4</v>
      </c>
      <c r="C12" s="322"/>
      <c r="D12" s="322"/>
      <c r="E12" s="323"/>
      <c r="F12" s="343"/>
      <c r="G12" s="322"/>
      <c r="H12" s="325"/>
      <c r="I12" s="326"/>
      <c r="J12" s="322"/>
      <c r="K12" s="323"/>
      <c r="L12" s="315"/>
      <c r="M12" s="315"/>
    </row>
    <row r="13" spans="1:13">
      <c r="A13" s="286" t="s">
        <v>278</v>
      </c>
      <c r="B13" s="279"/>
      <c r="C13" s="322"/>
      <c r="D13" s="322"/>
      <c r="E13" s="323"/>
      <c r="F13" s="343"/>
      <c r="G13" s="322"/>
      <c r="H13" s="325"/>
      <c r="I13" s="326"/>
      <c r="J13" s="322"/>
      <c r="K13" s="323"/>
      <c r="L13" s="315"/>
      <c r="M13" s="315"/>
    </row>
    <row r="14" spans="1:13">
      <c r="A14" s="316" t="s">
        <v>279</v>
      </c>
      <c r="B14" s="279"/>
      <c r="C14" s="349">
        <v>1049</v>
      </c>
      <c r="D14" s="349">
        <v>1049</v>
      </c>
      <c r="E14" s="350">
        <v>0</v>
      </c>
      <c r="F14" s="351">
        <v>1270</v>
      </c>
      <c r="G14" s="349">
        <v>1270</v>
      </c>
      <c r="H14" s="352">
        <v>1270</v>
      </c>
      <c r="I14" s="353">
        <v>70</v>
      </c>
      <c r="J14" s="349">
        <v>70</v>
      </c>
      <c r="K14" s="350">
        <v>70</v>
      </c>
      <c r="L14" s="315"/>
      <c r="M14" s="315"/>
    </row>
    <row r="15" spans="1:13">
      <c r="A15" s="287" t="s">
        <v>280</v>
      </c>
      <c r="B15" s="279">
        <v>5</v>
      </c>
      <c r="C15" s="354">
        <v>10877</v>
      </c>
      <c r="D15" s="354">
        <v>11127</v>
      </c>
      <c r="E15" s="355">
        <v>0</v>
      </c>
      <c r="F15" s="356">
        <v>11705</v>
      </c>
      <c r="G15" s="354">
        <v>11705</v>
      </c>
      <c r="H15" s="357">
        <v>11705</v>
      </c>
      <c r="I15" s="358">
        <v>12656</v>
      </c>
      <c r="J15" s="354">
        <v>12656</v>
      </c>
      <c r="K15" s="355">
        <v>12656</v>
      </c>
      <c r="L15" s="315"/>
      <c r="M15" s="315"/>
    </row>
    <row r="16" spans="1:13">
      <c r="A16" s="285" t="s">
        <v>64</v>
      </c>
      <c r="B16" s="279"/>
      <c r="C16" s="338"/>
      <c r="D16" s="338"/>
      <c r="E16" s="339"/>
      <c r="F16" s="340"/>
      <c r="G16" s="338"/>
      <c r="H16" s="341"/>
      <c r="I16" s="342"/>
      <c r="J16" s="338"/>
      <c r="K16" s="339"/>
      <c r="L16" s="366"/>
      <c r="M16" s="366"/>
    </row>
    <row r="17" spans="1:13">
      <c r="A17" s="286" t="s">
        <v>281</v>
      </c>
      <c r="B17" s="279"/>
      <c r="C17" s="322">
        <v>2418</v>
      </c>
      <c r="D17" s="322">
        <v>3650</v>
      </c>
      <c r="E17" s="323"/>
      <c r="F17" s="343">
        <v>7730</v>
      </c>
      <c r="G17" s="322">
        <v>7730</v>
      </c>
      <c r="H17" s="325">
        <v>7730</v>
      </c>
      <c r="I17" s="326">
        <v>10873</v>
      </c>
      <c r="J17" s="322">
        <v>10873</v>
      </c>
      <c r="K17" s="323">
        <v>10873</v>
      </c>
      <c r="L17" s="315"/>
      <c r="M17" s="315"/>
    </row>
    <row r="18" spans="1:13">
      <c r="A18" s="286" t="s">
        <v>282</v>
      </c>
      <c r="B18" s="279"/>
      <c r="C18" s="322">
        <v>468</v>
      </c>
      <c r="D18" s="322">
        <v>515</v>
      </c>
      <c r="E18" s="323"/>
      <c r="F18" s="343">
        <v>23</v>
      </c>
      <c r="G18" s="322">
        <v>23</v>
      </c>
      <c r="H18" s="325">
        <v>23</v>
      </c>
      <c r="I18" s="326">
        <v>25</v>
      </c>
      <c r="J18" s="322">
        <v>25</v>
      </c>
      <c r="K18" s="323">
        <v>25</v>
      </c>
      <c r="L18" s="315"/>
      <c r="M18" s="315"/>
    </row>
    <row r="19" spans="1:13">
      <c r="A19" s="286" t="s">
        <v>283</v>
      </c>
      <c r="B19" s="279"/>
      <c r="C19" s="322">
        <v>156</v>
      </c>
      <c r="D19" s="322">
        <v>140</v>
      </c>
      <c r="E19" s="323"/>
      <c r="F19" s="343">
        <v>0</v>
      </c>
      <c r="G19" s="322">
        <v>0</v>
      </c>
      <c r="H19" s="325">
        <v>0</v>
      </c>
      <c r="I19" s="326"/>
      <c r="J19" s="322"/>
      <c r="K19" s="323"/>
      <c r="L19" s="315"/>
      <c r="M19" s="315"/>
    </row>
    <row r="20" spans="1:13">
      <c r="A20" s="286" t="s">
        <v>284</v>
      </c>
      <c r="B20" s="279"/>
      <c r="C20" s="322">
        <v>906</v>
      </c>
      <c r="D20" s="322">
        <v>880</v>
      </c>
      <c r="E20" s="323"/>
      <c r="F20" s="343">
        <v>855</v>
      </c>
      <c r="G20" s="322">
        <v>855</v>
      </c>
      <c r="H20" s="325">
        <v>855</v>
      </c>
      <c r="I20" s="326">
        <v>219</v>
      </c>
      <c r="J20" s="322">
        <v>219</v>
      </c>
      <c r="K20" s="323">
        <v>219</v>
      </c>
      <c r="L20" s="315"/>
      <c r="M20" s="315"/>
    </row>
    <row r="21" spans="1:13">
      <c r="A21" s="286" t="s">
        <v>285</v>
      </c>
      <c r="B21" s="279"/>
      <c r="C21" s="322"/>
      <c r="D21" s="322"/>
      <c r="E21" s="323"/>
      <c r="F21" s="343"/>
      <c r="G21" s="322">
        <v>0</v>
      </c>
      <c r="H21" s="325">
        <v>0</v>
      </c>
      <c r="I21" s="326">
        <v>0</v>
      </c>
      <c r="J21" s="322">
        <v>0</v>
      </c>
      <c r="K21" s="323">
        <v>0</v>
      </c>
      <c r="L21" s="315"/>
      <c r="M21" s="315"/>
    </row>
    <row r="22" spans="1:13">
      <c r="A22" s="316" t="s">
        <v>275</v>
      </c>
      <c r="B22" s="279"/>
      <c r="C22" s="344">
        <v>3948</v>
      </c>
      <c r="D22" s="344">
        <v>5185</v>
      </c>
      <c r="E22" s="345">
        <v>0</v>
      </c>
      <c r="F22" s="346">
        <v>8608</v>
      </c>
      <c r="G22" s="344">
        <v>8608</v>
      </c>
      <c r="H22" s="347">
        <v>8608</v>
      </c>
      <c r="I22" s="348">
        <v>11117</v>
      </c>
      <c r="J22" s="344">
        <v>11117</v>
      </c>
      <c r="K22" s="345">
        <v>11117</v>
      </c>
      <c r="L22" s="315"/>
      <c r="M22" s="315"/>
    </row>
    <row r="23" spans="1:13">
      <c r="A23" s="286" t="s">
        <v>286</v>
      </c>
      <c r="B23" s="279"/>
      <c r="C23" s="322">
        <v>4838</v>
      </c>
      <c r="D23" s="322">
        <v>3098</v>
      </c>
      <c r="E23" s="323"/>
      <c r="F23" s="343">
        <v>254</v>
      </c>
      <c r="G23" s="322">
        <v>254</v>
      </c>
      <c r="H23" s="325">
        <v>254</v>
      </c>
      <c r="I23" s="326">
        <v>250</v>
      </c>
      <c r="J23" s="322">
        <v>250</v>
      </c>
      <c r="K23" s="323">
        <v>250</v>
      </c>
      <c r="L23" s="315"/>
      <c r="M23" s="315"/>
    </row>
    <row r="24" spans="1:13">
      <c r="A24" s="286" t="s">
        <v>287</v>
      </c>
      <c r="B24" s="279"/>
      <c r="C24" s="322">
        <v>702</v>
      </c>
      <c r="D24" s="322">
        <v>610</v>
      </c>
      <c r="E24" s="323"/>
      <c r="F24" s="343">
        <v>2704</v>
      </c>
      <c r="G24" s="322">
        <v>2704</v>
      </c>
      <c r="H24" s="325">
        <v>2704</v>
      </c>
      <c r="I24" s="326">
        <v>166</v>
      </c>
      <c r="J24" s="322">
        <v>166</v>
      </c>
      <c r="K24" s="323">
        <v>166</v>
      </c>
      <c r="L24" s="315"/>
      <c r="M24" s="315"/>
    </row>
    <row r="25" spans="1:13">
      <c r="A25" s="286" t="s">
        <v>288</v>
      </c>
      <c r="B25" s="279"/>
      <c r="C25" s="322">
        <v>1389</v>
      </c>
      <c r="D25" s="322">
        <v>2234</v>
      </c>
      <c r="E25" s="323"/>
      <c r="F25" s="343"/>
      <c r="G25" s="322"/>
      <c r="H25" s="325"/>
      <c r="I25" s="326">
        <v>0</v>
      </c>
      <c r="J25" s="322">
        <v>0</v>
      </c>
      <c r="K25" s="323">
        <v>0</v>
      </c>
      <c r="L25" s="315"/>
      <c r="M25" s="315"/>
    </row>
    <row r="26" spans="1:13">
      <c r="A26" s="316" t="s">
        <v>279</v>
      </c>
      <c r="B26" s="279"/>
      <c r="C26" s="349">
        <v>6929</v>
      </c>
      <c r="D26" s="349">
        <v>5942</v>
      </c>
      <c r="E26" s="350">
        <v>0</v>
      </c>
      <c r="F26" s="351">
        <v>2958</v>
      </c>
      <c r="G26" s="349">
        <v>2958</v>
      </c>
      <c r="H26" s="352">
        <v>2958</v>
      </c>
      <c r="I26" s="353">
        <v>416</v>
      </c>
      <c r="J26" s="349">
        <v>416</v>
      </c>
      <c r="K26" s="350">
        <v>416</v>
      </c>
      <c r="L26" s="315"/>
      <c r="M26" s="315"/>
    </row>
    <row r="27" spans="1:13">
      <c r="A27" s="287" t="s">
        <v>280</v>
      </c>
      <c r="B27" s="279">
        <v>5</v>
      </c>
      <c r="C27" s="354">
        <v>10877</v>
      </c>
      <c r="D27" s="354">
        <v>11127</v>
      </c>
      <c r="E27" s="355">
        <v>0</v>
      </c>
      <c r="F27" s="356">
        <v>11566</v>
      </c>
      <c r="G27" s="354">
        <v>11566</v>
      </c>
      <c r="H27" s="357">
        <v>11566</v>
      </c>
      <c r="I27" s="358">
        <v>11533</v>
      </c>
      <c r="J27" s="354">
        <v>11533</v>
      </c>
      <c r="K27" s="355">
        <v>11533</v>
      </c>
      <c r="L27" s="315"/>
      <c r="M27" s="315"/>
    </row>
    <row r="28" spans="1:13">
      <c r="A28" s="285" t="s">
        <v>65</v>
      </c>
      <c r="B28" s="279"/>
      <c r="C28" s="338"/>
      <c r="D28" s="338"/>
      <c r="E28" s="339"/>
      <c r="F28" s="340"/>
      <c r="G28" s="338"/>
      <c r="H28" s="341"/>
      <c r="I28" s="342"/>
      <c r="J28" s="338"/>
      <c r="K28" s="339"/>
      <c r="L28" s="366"/>
      <c r="M28" s="366"/>
    </row>
    <row r="29" spans="1:13">
      <c r="A29" s="286" t="s">
        <v>289</v>
      </c>
      <c r="B29" s="279"/>
      <c r="C29" s="322">
        <v>1070</v>
      </c>
      <c r="D29" s="322">
        <v>1070</v>
      </c>
      <c r="E29" s="323"/>
      <c r="F29" s="343">
        <v>5046</v>
      </c>
      <c r="G29" s="322">
        <v>5046</v>
      </c>
      <c r="H29" s="325">
        <v>5046</v>
      </c>
      <c r="I29" s="325">
        <v>5046</v>
      </c>
      <c r="J29" s="325">
        <v>5046</v>
      </c>
      <c r="K29" s="325">
        <v>5046</v>
      </c>
      <c r="L29" s="315"/>
      <c r="M29" s="315"/>
    </row>
    <row r="30" spans="1:13">
      <c r="A30" s="286" t="s">
        <v>290</v>
      </c>
      <c r="B30" s="279"/>
      <c r="C30" s="322">
        <v>1500</v>
      </c>
      <c r="D30" s="322">
        <v>1500</v>
      </c>
      <c r="E30" s="323"/>
      <c r="F30" s="343">
        <v>1500</v>
      </c>
      <c r="G30" s="322">
        <v>1500</v>
      </c>
      <c r="H30" s="325">
        <v>1500</v>
      </c>
      <c r="I30" s="325">
        <v>1500</v>
      </c>
      <c r="J30" s="325">
        <v>1500</v>
      </c>
      <c r="K30" s="325">
        <v>1500</v>
      </c>
      <c r="L30" s="315"/>
      <c r="M30" s="315"/>
    </row>
    <row r="31" spans="1:13">
      <c r="A31" s="316" t="s">
        <v>275</v>
      </c>
      <c r="B31" s="279"/>
      <c r="C31" s="344">
        <v>2570</v>
      </c>
      <c r="D31" s="344">
        <v>2570</v>
      </c>
      <c r="E31" s="345">
        <v>0</v>
      </c>
      <c r="F31" s="346">
        <v>6546</v>
      </c>
      <c r="G31" s="344">
        <v>6546</v>
      </c>
      <c r="H31" s="347">
        <v>6546</v>
      </c>
      <c r="I31" s="348">
        <v>6546</v>
      </c>
      <c r="J31" s="344">
        <v>6546</v>
      </c>
      <c r="K31" s="345">
        <v>6546</v>
      </c>
      <c r="L31" s="315"/>
      <c r="M31" s="315"/>
    </row>
    <row r="32" spans="1:13">
      <c r="A32" s="286" t="s">
        <v>291</v>
      </c>
      <c r="B32" s="279"/>
      <c r="C32" s="322"/>
      <c r="D32" s="322"/>
      <c r="E32" s="323"/>
      <c r="F32" s="343"/>
      <c r="G32" s="322"/>
      <c r="H32" s="325"/>
      <c r="I32" s="326"/>
      <c r="J32" s="322"/>
      <c r="K32" s="323"/>
      <c r="L32" s="315"/>
      <c r="M32" s="315"/>
    </row>
    <row r="33" spans="1:13">
      <c r="A33" s="286" t="s">
        <v>292</v>
      </c>
      <c r="B33" s="279"/>
      <c r="C33" s="322"/>
      <c r="D33" s="322"/>
      <c r="E33" s="323"/>
      <c r="F33" s="343"/>
      <c r="G33" s="322"/>
      <c r="H33" s="325"/>
      <c r="I33" s="326"/>
      <c r="J33" s="322"/>
      <c r="K33" s="323"/>
      <c r="L33" s="315"/>
      <c r="M33" s="315"/>
    </row>
    <row r="34" spans="1:13">
      <c r="A34" s="286" t="s">
        <v>293</v>
      </c>
      <c r="B34" s="279"/>
      <c r="C34" s="322"/>
      <c r="D34" s="322"/>
      <c r="E34" s="323"/>
      <c r="F34" s="343"/>
      <c r="G34" s="322"/>
      <c r="H34" s="325"/>
      <c r="I34" s="326"/>
      <c r="J34" s="322"/>
      <c r="K34" s="323"/>
      <c r="L34" s="315"/>
      <c r="M34" s="315"/>
    </row>
    <row r="35" spans="1:13">
      <c r="A35" s="316" t="s">
        <v>279</v>
      </c>
      <c r="B35" s="279"/>
      <c r="C35" s="349">
        <v>0</v>
      </c>
      <c r="D35" s="349">
        <v>0</v>
      </c>
      <c r="E35" s="350">
        <v>0</v>
      </c>
      <c r="F35" s="351">
        <v>0</v>
      </c>
      <c r="G35" s="349">
        <v>0</v>
      </c>
      <c r="H35" s="352">
        <v>0</v>
      </c>
      <c r="I35" s="353">
        <v>0</v>
      </c>
      <c r="J35" s="349">
        <v>0</v>
      </c>
      <c r="K35" s="350">
        <v>0</v>
      </c>
      <c r="L35" s="315"/>
      <c r="M35" s="315"/>
    </row>
    <row r="36" spans="1:13">
      <c r="A36" s="287" t="s">
        <v>280</v>
      </c>
      <c r="B36" s="279">
        <v>5</v>
      </c>
      <c r="C36" s="354">
        <v>2570</v>
      </c>
      <c r="D36" s="354">
        <v>2570</v>
      </c>
      <c r="E36" s="355">
        <v>0</v>
      </c>
      <c r="F36" s="356">
        <v>6546</v>
      </c>
      <c r="G36" s="354">
        <v>6546</v>
      </c>
      <c r="H36" s="357">
        <v>6546</v>
      </c>
      <c r="I36" s="358">
        <v>6546</v>
      </c>
      <c r="J36" s="354">
        <v>6546</v>
      </c>
      <c r="K36" s="355">
        <v>6546</v>
      </c>
      <c r="L36" s="315"/>
      <c r="M36" s="315"/>
    </row>
    <row r="37" spans="1:13">
      <c r="A37" s="285" t="s">
        <v>66</v>
      </c>
      <c r="B37" s="279"/>
      <c r="C37" s="338"/>
      <c r="D37" s="338"/>
      <c r="E37" s="339"/>
      <c r="F37" s="340"/>
      <c r="G37" s="338"/>
      <c r="H37" s="341"/>
      <c r="I37" s="342"/>
      <c r="J37" s="338"/>
      <c r="K37" s="339"/>
      <c r="L37" s="366"/>
      <c r="M37" s="366"/>
    </row>
    <row r="38" spans="1:13">
      <c r="A38" s="286" t="s">
        <v>294</v>
      </c>
      <c r="B38" s="279"/>
      <c r="C38" s="331">
        <v>3585</v>
      </c>
      <c r="D38" s="331">
        <v>3585</v>
      </c>
      <c r="E38" s="332"/>
      <c r="F38" s="364">
        <v>3585</v>
      </c>
      <c r="G38" s="331">
        <v>3585</v>
      </c>
      <c r="H38" s="365">
        <v>3585</v>
      </c>
      <c r="I38" s="365">
        <v>3585</v>
      </c>
      <c r="J38" s="365">
        <v>3585</v>
      </c>
      <c r="K38" s="365">
        <v>3585</v>
      </c>
      <c r="L38" s="315"/>
      <c r="M38" s="315"/>
    </row>
    <row r="39" spans="1:13">
      <c r="A39" s="316" t="s">
        <v>275</v>
      </c>
      <c r="B39" s="279"/>
      <c r="C39" s="359">
        <v>3585</v>
      </c>
      <c r="D39" s="359">
        <v>3585</v>
      </c>
      <c r="E39" s="360">
        <v>0</v>
      </c>
      <c r="F39" s="361">
        <v>3585</v>
      </c>
      <c r="G39" s="359">
        <v>3585</v>
      </c>
      <c r="H39" s="362">
        <v>3585</v>
      </c>
      <c r="I39" s="363">
        <v>3585</v>
      </c>
      <c r="J39" s="359">
        <v>3585</v>
      </c>
      <c r="K39" s="360">
        <v>3585</v>
      </c>
      <c r="L39" s="315"/>
      <c r="M39" s="315"/>
    </row>
    <row r="40" spans="1:13">
      <c r="A40" s="286" t="s">
        <v>295</v>
      </c>
      <c r="B40" s="279"/>
      <c r="C40" s="322">
        <v>0</v>
      </c>
      <c r="D40" s="322">
        <v>0</v>
      </c>
      <c r="E40" s="323"/>
      <c r="F40" s="343"/>
      <c r="G40" s="322">
        <v>0</v>
      </c>
      <c r="H40" s="325">
        <v>0</v>
      </c>
      <c r="I40" s="326"/>
      <c r="J40" s="322"/>
      <c r="K40" s="323"/>
      <c r="L40" s="315"/>
      <c r="M40" s="315"/>
    </row>
    <row r="41" spans="1:13">
      <c r="A41" s="286" t="s">
        <v>296</v>
      </c>
      <c r="B41" s="279"/>
      <c r="C41" s="322">
        <v>468</v>
      </c>
      <c r="D41" s="322">
        <v>468</v>
      </c>
      <c r="E41" s="323"/>
      <c r="F41" s="343">
        <v>468</v>
      </c>
      <c r="G41" s="322">
        <v>468</v>
      </c>
      <c r="H41" s="325">
        <v>468</v>
      </c>
      <c r="I41" s="325">
        <v>468</v>
      </c>
      <c r="J41" s="325">
        <v>468</v>
      </c>
      <c r="K41" s="325">
        <v>468</v>
      </c>
      <c r="L41" s="315"/>
      <c r="M41" s="315"/>
    </row>
    <row r="42" spans="1:13">
      <c r="A42" s="286" t="s">
        <v>297</v>
      </c>
      <c r="B42" s="279"/>
      <c r="C42" s="322">
        <v>4236</v>
      </c>
      <c r="D42" s="322">
        <v>4236</v>
      </c>
      <c r="E42" s="323"/>
      <c r="F42" s="343">
        <v>4236</v>
      </c>
      <c r="G42" s="322">
        <v>4236</v>
      </c>
      <c r="H42" s="325">
        <v>4236</v>
      </c>
      <c r="I42" s="325">
        <v>4236</v>
      </c>
      <c r="J42" s="325">
        <v>4236</v>
      </c>
      <c r="K42" s="325">
        <v>4236</v>
      </c>
      <c r="L42" s="315"/>
      <c r="M42" s="315"/>
    </row>
    <row r="43" spans="1:13">
      <c r="A43" s="286" t="s">
        <v>298</v>
      </c>
      <c r="B43" s="279"/>
      <c r="C43" s="322"/>
      <c r="D43" s="322"/>
      <c r="E43" s="323"/>
      <c r="F43" s="343">
        <v>126</v>
      </c>
      <c r="G43" s="322">
        <v>126</v>
      </c>
      <c r="H43" s="325">
        <v>126</v>
      </c>
      <c r="I43" s="325">
        <v>126</v>
      </c>
      <c r="J43" s="325">
        <v>126</v>
      </c>
      <c r="K43" s="325">
        <v>126</v>
      </c>
      <c r="L43" s="315"/>
      <c r="M43" s="315"/>
    </row>
    <row r="44" spans="1:13">
      <c r="A44" s="286" t="s">
        <v>299</v>
      </c>
      <c r="B44" s="279"/>
      <c r="C44" s="322">
        <v>3000</v>
      </c>
      <c r="D44" s="322">
        <v>2838</v>
      </c>
      <c r="E44" s="323"/>
      <c r="F44" s="343">
        <v>1614</v>
      </c>
      <c r="G44" s="322">
        <v>1614</v>
      </c>
      <c r="H44" s="325">
        <v>1614</v>
      </c>
      <c r="I44" s="325">
        <v>1614</v>
      </c>
      <c r="J44" s="325">
        <v>1614</v>
      </c>
      <c r="K44" s="325">
        <v>1614</v>
      </c>
      <c r="L44" s="315"/>
      <c r="M44" s="315"/>
    </row>
    <row r="45" spans="1:13">
      <c r="A45" s="316" t="s">
        <v>279</v>
      </c>
      <c r="B45" s="279"/>
      <c r="C45" s="349">
        <v>7704</v>
      </c>
      <c r="D45" s="349">
        <v>7542</v>
      </c>
      <c r="E45" s="350">
        <v>0</v>
      </c>
      <c r="F45" s="351">
        <v>6444</v>
      </c>
      <c r="G45" s="349">
        <v>6444</v>
      </c>
      <c r="H45" s="352">
        <v>6444</v>
      </c>
      <c r="I45" s="353">
        <v>6444</v>
      </c>
      <c r="J45" s="349">
        <v>6444</v>
      </c>
      <c r="K45" s="350">
        <v>6444</v>
      </c>
      <c r="L45" s="315"/>
      <c r="M45" s="315"/>
    </row>
    <row r="46" spans="1:13">
      <c r="A46" s="287" t="s">
        <v>280</v>
      </c>
      <c r="B46" s="279">
        <v>5</v>
      </c>
      <c r="C46" s="354">
        <v>11289</v>
      </c>
      <c r="D46" s="354">
        <v>11127</v>
      </c>
      <c r="E46" s="355">
        <v>0</v>
      </c>
      <c r="F46" s="356">
        <v>10029</v>
      </c>
      <c r="G46" s="354">
        <v>10029</v>
      </c>
      <c r="H46" s="357">
        <v>10029</v>
      </c>
      <c r="I46" s="358">
        <v>10029</v>
      </c>
      <c r="J46" s="354">
        <v>10029</v>
      </c>
      <c r="K46" s="355">
        <v>10029</v>
      </c>
      <c r="L46" s="315"/>
      <c r="M46" s="315"/>
    </row>
    <row r="47" spans="1:13">
      <c r="A47" s="288"/>
      <c r="B47" s="289"/>
      <c r="C47" s="290"/>
      <c r="D47" s="290"/>
      <c r="E47" s="291"/>
      <c r="F47" s="292"/>
      <c r="G47" s="290"/>
      <c r="H47" s="293"/>
      <c r="I47" s="294"/>
      <c r="J47" s="290"/>
      <c r="K47" s="291"/>
      <c r="L47" s="315"/>
      <c r="M47" s="315"/>
    </row>
    <row r="48" spans="1:13">
      <c r="A48" s="278" t="s">
        <v>300</v>
      </c>
      <c r="B48" s="279">
        <v>7</v>
      </c>
      <c r="C48" s="265"/>
      <c r="D48" s="265"/>
      <c r="E48" s="295"/>
      <c r="F48" s="270"/>
      <c r="G48" s="265"/>
      <c r="H48" s="268"/>
      <c r="I48" s="269"/>
      <c r="J48" s="265"/>
      <c r="K48" s="266"/>
      <c r="L48" s="315"/>
      <c r="M48" s="315"/>
    </row>
    <row r="49" spans="1:13">
      <c r="A49" s="286" t="s">
        <v>301</v>
      </c>
      <c r="B49" s="279"/>
      <c r="C49" s="322">
        <v>10877</v>
      </c>
      <c r="D49" s="322">
        <v>11127</v>
      </c>
      <c r="E49" s="337"/>
      <c r="F49" s="326">
        <v>11554</v>
      </c>
      <c r="G49" s="322">
        <v>11554</v>
      </c>
      <c r="H49" s="337">
        <v>11554</v>
      </c>
      <c r="I49" s="337">
        <v>11554</v>
      </c>
      <c r="J49" s="337">
        <v>11554</v>
      </c>
      <c r="K49" s="337">
        <v>11554</v>
      </c>
      <c r="L49" s="315"/>
      <c r="M49" s="315"/>
    </row>
    <row r="50" spans="1:13">
      <c r="A50" s="286" t="s">
        <v>302</v>
      </c>
      <c r="B50" s="279"/>
      <c r="C50" s="322">
        <v>4809</v>
      </c>
      <c r="D50" s="322">
        <v>4809</v>
      </c>
      <c r="E50" s="337"/>
      <c r="F50" s="326"/>
      <c r="G50" s="322">
        <v>0</v>
      </c>
      <c r="H50" s="337">
        <v>0</v>
      </c>
      <c r="I50" s="326"/>
      <c r="J50" s="322"/>
      <c r="K50" s="337"/>
      <c r="L50" s="315"/>
      <c r="M50" s="315"/>
    </row>
    <row r="51" spans="1:13">
      <c r="A51" s="286" t="s">
        <v>303</v>
      </c>
      <c r="B51" s="279"/>
      <c r="C51" s="322">
        <v>3142</v>
      </c>
      <c r="D51" s="322">
        <v>3142</v>
      </c>
      <c r="E51" s="337"/>
      <c r="F51" s="326"/>
      <c r="G51" s="322">
        <v>0</v>
      </c>
      <c r="H51" s="337">
        <v>0</v>
      </c>
      <c r="I51" s="326"/>
      <c r="J51" s="322"/>
      <c r="K51" s="337"/>
      <c r="L51" s="315"/>
      <c r="M51" s="315"/>
    </row>
    <row r="52" spans="1:13">
      <c r="A52" s="306" t="s">
        <v>304</v>
      </c>
      <c r="B52" s="289"/>
      <c r="C52" s="331">
        <v>4809</v>
      </c>
      <c r="D52" s="331">
        <v>4809</v>
      </c>
      <c r="E52" s="373"/>
      <c r="F52" s="336">
        <v>3585</v>
      </c>
      <c r="G52" s="331">
        <v>3585</v>
      </c>
      <c r="H52" s="373">
        <v>3585</v>
      </c>
      <c r="I52" s="373">
        <v>3585</v>
      </c>
      <c r="J52" s="373">
        <v>3585</v>
      </c>
      <c r="K52" s="373">
        <v>3585</v>
      </c>
      <c r="L52" s="315"/>
      <c r="M52" s="315"/>
    </row>
    <row r="53" spans="1:13">
      <c r="A53" s="297"/>
      <c r="B53" s="279"/>
      <c r="C53" s="265"/>
      <c r="D53" s="265"/>
      <c r="E53" s="298"/>
      <c r="F53" s="269"/>
      <c r="G53" s="265"/>
      <c r="H53" s="268"/>
      <c r="I53" s="269"/>
      <c r="J53" s="265"/>
      <c r="K53" s="298"/>
      <c r="L53" s="315"/>
      <c r="M53" s="315"/>
    </row>
    <row r="54" spans="1:13">
      <c r="A54" s="307" t="s">
        <v>305</v>
      </c>
      <c r="B54" s="279">
        <v>8</v>
      </c>
      <c r="C54" s="317"/>
      <c r="D54" s="317"/>
      <c r="E54" s="319"/>
      <c r="F54" s="320"/>
      <c r="G54" s="317"/>
      <c r="H54" s="321"/>
      <c r="I54" s="318"/>
      <c r="J54" s="317"/>
      <c r="K54" s="319"/>
      <c r="L54" s="315"/>
      <c r="M54" s="315"/>
    </row>
    <row r="55" spans="1:13">
      <c r="A55" s="286" t="s">
        <v>301</v>
      </c>
      <c r="B55" s="279"/>
      <c r="C55" s="317"/>
      <c r="D55" s="317"/>
      <c r="E55" s="319"/>
      <c r="F55" s="320"/>
      <c r="G55" s="317">
        <v>0</v>
      </c>
      <c r="H55" s="321">
        <v>0</v>
      </c>
      <c r="I55" s="318"/>
      <c r="J55" s="317"/>
      <c r="K55" s="319"/>
      <c r="L55" s="315"/>
      <c r="M55" s="315"/>
    </row>
    <row r="56" spans="1:13">
      <c r="A56" s="286" t="s">
        <v>306</v>
      </c>
      <c r="B56" s="279"/>
      <c r="C56" s="317"/>
      <c r="D56" s="317"/>
      <c r="E56" s="319"/>
      <c r="F56" s="320"/>
      <c r="G56" s="317">
        <v>0</v>
      </c>
      <c r="H56" s="321">
        <v>0</v>
      </c>
      <c r="I56" s="318"/>
      <c r="J56" s="317"/>
      <c r="K56" s="319"/>
      <c r="L56" s="315"/>
      <c r="M56" s="315"/>
    </row>
    <row r="57" spans="1:13">
      <c r="A57" s="286" t="s">
        <v>303</v>
      </c>
      <c r="B57" s="279"/>
      <c r="C57" s="317">
        <v>889892.21</v>
      </c>
      <c r="D57" s="317">
        <v>819029.76</v>
      </c>
      <c r="E57" s="319"/>
      <c r="F57" s="320">
        <v>933151.73279999988</v>
      </c>
      <c r="G57" s="317">
        <v>933151.73279999988</v>
      </c>
      <c r="H57" s="321">
        <v>933151.73279999988</v>
      </c>
      <c r="I57" s="318">
        <v>1054928.0339303999</v>
      </c>
      <c r="J57" s="317">
        <v>1192068.6783413517</v>
      </c>
      <c r="K57" s="319">
        <v>1347037.6065257273</v>
      </c>
      <c r="L57" s="315"/>
      <c r="M57" s="315"/>
    </row>
    <row r="58" spans="1:13">
      <c r="A58" s="286" t="s">
        <v>307</v>
      </c>
      <c r="B58" s="279"/>
      <c r="C58" s="317"/>
      <c r="D58" s="317"/>
      <c r="E58" s="319"/>
      <c r="F58" s="320"/>
      <c r="G58" s="317">
        <v>0</v>
      </c>
      <c r="H58" s="321">
        <v>0</v>
      </c>
      <c r="I58" s="318"/>
      <c r="J58" s="317"/>
      <c r="K58" s="319"/>
      <c r="L58" s="315"/>
      <c r="M58" s="315"/>
    </row>
    <row r="59" spans="1:13">
      <c r="A59" s="308" t="s">
        <v>308</v>
      </c>
      <c r="B59" s="289"/>
      <c r="C59" s="309">
        <v>889892.21</v>
      </c>
      <c r="D59" s="309">
        <v>819029.76</v>
      </c>
      <c r="E59" s="310">
        <v>0</v>
      </c>
      <c r="F59" s="311">
        <v>933151.73279999988</v>
      </c>
      <c r="G59" s="309">
        <v>933151.73279999988</v>
      </c>
      <c r="H59" s="312">
        <v>933151.73279999988</v>
      </c>
      <c r="I59" s="313">
        <v>1054928.0339303999</v>
      </c>
      <c r="J59" s="309">
        <v>1192068.6783413517</v>
      </c>
      <c r="K59" s="310">
        <v>1347037.6065257273</v>
      </c>
      <c r="L59" s="315"/>
      <c r="M59" s="315"/>
    </row>
    <row r="60" spans="1:13">
      <c r="A60" s="305"/>
      <c r="B60" s="279"/>
      <c r="C60" s="280"/>
      <c r="D60" s="280"/>
      <c r="E60" s="281"/>
      <c r="F60" s="282"/>
      <c r="G60" s="280"/>
      <c r="H60" s="283"/>
      <c r="I60" s="284"/>
      <c r="J60" s="280"/>
      <c r="K60" s="281"/>
      <c r="L60" s="315"/>
      <c r="M60" s="315"/>
    </row>
    <row r="61" spans="1:13">
      <c r="A61" s="278" t="s">
        <v>309</v>
      </c>
      <c r="B61" s="279"/>
      <c r="C61" s="265"/>
      <c r="D61" s="265"/>
      <c r="E61" s="266"/>
      <c r="F61" s="267"/>
      <c r="G61" s="265"/>
      <c r="H61" s="268"/>
      <c r="I61" s="269"/>
      <c r="J61" s="265"/>
      <c r="K61" s="266"/>
      <c r="L61" s="315"/>
      <c r="M61" s="315"/>
    </row>
    <row r="62" spans="1:13">
      <c r="A62" s="286" t="s">
        <v>310</v>
      </c>
      <c r="B62" s="279"/>
      <c r="C62" s="322">
        <v>25000</v>
      </c>
      <c r="D62" s="322">
        <v>25000</v>
      </c>
      <c r="E62" s="323"/>
      <c r="F62" s="324">
        <v>25000</v>
      </c>
      <c r="G62" s="322">
        <v>25000</v>
      </c>
      <c r="H62" s="325">
        <v>25000</v>
      </c>
      <c r="I62" s="325">
        <v>25000</v>
      </c>
      <c r="J62" s="325">
        <v>25000</v>
      </c>
      <c r="K62" s="325">
        <v>25000</v>
      </c>
      <c r="L62" s="315"/>
      <c r="M62" s="315"/>
    </row>
    <row r="63" spans="1:13">
      <c r="A63" s="286" t="s">
        <v>311</v>
      </c>
      <c r="B63" s="279"/>
      <c r="C63" s="322">
        <v>6</v>
      </c>
      <c r="D63" s="327">
        <v>6</v>
      </c>
      <c r="E63" s="328"/>
      <c r="F63" s="324">
        <v>6</v>
      </c>
      <c r="G63" s="327">
        <v>6</v>
      </c>
      <c r="H63" s="329">
        <v>6</v>
      </c>
      <c r="I63" s="329">
        <v>6</v>
      </c>
      <c r="J63" s="329">
        <v>6</v>
      </c>
      <c r="K63" s="329">
        <v>6</v>
      </c>
      <c r="L63" s="315"/>
      <c r="M63" s="315"/>
    </row>
    <row r="64" spans="1:13">
      <c r="A64" s="286" t="s">
        <v>312</v>
      </c>
      <c r="B64" s="279"/>
      <c r="C64" s="322"/>
      <c r="D64" s="322"/>
      <c r="E64" s="323"/>
      <c r="F64" s="324"/>
      <c r="G64" s="327">
        <v>0</v>
      </c>
      <c r="H64" s="329">
        <v>0</v>
      </c>
      <c r="I64" s="326"/>
      <c r="J64" s="322"/>
      <c r="K64" s="323"/>
      <c r="L64" s="315"/>
      <c r="M64" s="315"/>
    </row>
    <row r="65" spans="1:13">
      <c r="A65" s="286" t="s">
        <v>313</v>
      </c>
      <c r="B65" s="279"/>
      <c r="C65" s="322">
        <v>27.68</v>
      </c>
      <c r="D65" s="322">
        <v>29.340800000000002</v>
      </c>
      <c r="E65" s="323"/>
      <c r="F65" s="324">
        <v>33.602000000000004</v>
      </c>
      <c r="G65" s="327">
        <v>33.602000000000004</v>
      </c>
      <c r="H65" s="329">
        <v>33.602000000000004</v>
      </c>
      <c r="I65" s="326">
        <v>36.626180000000005</v>
      </c>
      <c r="J65" s="322">
        <v>39.556274400000007</v>
      </c>
      <c r="K65" s="323">
        <v>42.720776352000009</v>
      </c>
      <c r="L65" s="315"/>
      <c r="M65" s="315"/>
    </row>
    <row r="66" spans="1:13">
      <c r="A66" s="286" t="s">
        <v>314</v>
      </c>
      <c r="B66" s="279"/>
      <c r="C66" s="322">
        <v>50</v>
      </c>
      <c r="D66" s="327">
        <v>50</v>
      </c>
      <c r="E66" s="328"/>
      <c r="F66" s="324">
        <v>50</v>
      </c>
      <c r="G66" s="327">
        <v>50</v>
      </c>
      <c r="H66" s="329">
        <v>50</v>
      </c>
      <c r="I66" s="330">
        <v>50</v>
      </c>
      <c r="J66" s="322">
        <v>50</v>
      </c>
      <c r="K66" s="323">
        <v>50</v>
      </c>
      <c r="L66" s="315"/>
      <c r="M66" s="315"/>
    </row>
    <row r="67" spans="1:13">
      <c r="A67" s="296" t="s">
        <v>315</v>
      </c>
      <c r="B67" s="289"/>
      <c r="C67" s="331"/>
      <c r="D67" s="331"/>
      <c r="E67" s="332"/>
      <c r="F67" s="333"/>
      <c r="G67" s="334">
        <v>0</v>
      </c>
      <c r="H67" s="335">
        <v>0</v>
      </c>
      <c r="I67" s="336"/>
      <c r="J67" s="331"/>
      <c r="K67" s="332"/>
      <c r="L67" s="315"/>
      <c r="M67" s="315"/>
    </row>
    <row r="68" spans="1:13">
      <c r="A68" s="278" t="s">
        <v>316</v>
      </c>
      <c r="B68" s="279">
        <v>9</v>
      </c>
      <c r="C68" s="265"/>
      <c r="D68" s="265"/>
      <c r="E68" s="266"/>
      <c r="F68" s="267"/>
      <c r="G68" s="265"/>
      <c r="H68" s="268"/>
      <c r="I68" s="269"/>
      <c r="J68" s="265"/>
      <c r="K68" s="266"/>
      <c r="L68" s="315"/>
      <c r="M68" s="315"/>
    </row>
    <row r="69" spans="1:13">
      <c r="A69" s="286" t="s">
        <v>317</v>
      </c>
      <c r="B69" s="279"/>
      <c r="C69" s="317"/>
      <c r="D69" s="317">
        <v>14694747.856249999</v>
      </c>
      <c r="E69" s="319"/>
      <c r="F69" s="320">
        <v>16390248.939999999</v>
      </c>
      <c r="G69" s="317">
        <v>16390248.939999999</v>
      </c>
      <c r="H69" s="321">
        <v>16390248.939999999</v>
      </c>
      <c r="I69" s="318">
        <v>17865371.344599999</v>
      </c>
      <c r="J69" s="317">
        <v>19294601.052168</v>
      </c>
      <c r="K69" s="319">
        <v>20838169.1363414</v>
      </c>
      <c r="L69" s="315"/>
      <c r="M69" s="315"/>
    </row>
    <row r="70" spans="1:13" ht="25.5">
      <c r="A70" s="374" t="s">
        <v>318</v>
      </c>
      <c r="B70" s="279"/>
      <c r="C70" s="317">
        <v>191807.3</v>
      </c>
      <c r="D70" s="317">
        <v>1021326</v>
      </c>
      <c r="E70" s="319"/>
      <c r="F70" s="320"/>
      <c r="G70" s="317">
        <v>0</v>
      </c>
      <c r="H70" s="321">
        <v>0</v>
      </c>
      <c r="I70" s="318"/>
      <c r="J70" s="317"/>
      <c r="K70" s="319"/>
      <c r="L70" s="315"/>
      <c r="M70" s="315"/>
    </row>
    <row r="71" spans="1:13">
      <c r="A71" s="286" t="s">
        <v>90</v>
      </c>
      <c r="B71" s="279"/>
      <c r="C71" s="317">
        <v>947939</v>
      </c>
      <c r="D71" s="317">
        <v>811625.03</v>
      </c>
      <c r="E71" s="319"/>
      <c r="F71" s="320">
        <v>1500000</v>
      </c>
      <c r="G71" s="317">
        <v>1300000</v>
      </c>
      <c r="H71" s="321">
        <v>1300000</v>
      </c>
      <c r="I71" s="318">
        <v>1378000</v>
      </c>
      <c r="J71" s="317">
        <v>1451034</v>
      </c>
      <c r="K71" s="319">
        <v>1522134.666</v>
      </c>
      <c r="L71" s="315"/>
      <c r="M71" s="315"/>
    </row>
    <row r="72" spans="1:13">
      <c r="A72" s="286" t="s">
        <v>319</v>
      </c>
      <c r="B72" s="279"/>
      <c r="C72" s="317">
        <v>208406</v>
      </c>
      <c r="D72" s="317">
        <v>88910.45</v>
      </c>
      <c r="E72" s="319"/>
      <c r="F72" s="320">
        <v>800000</v>
      </c>
      <c r="G72" s="317">
        <v>300000</v>
      </c>
      <c r="H72" s="321">
        <v>300000</v>
      </c>
      <c r="I72" s="318">
        <v>848000</v>
      </c>
      <c r="J72" s="317">
        <v>892944</v>
      </c>
      <c r="K72" s="319">
        <v>936698.25599999994</v>
      </c>
      <c r="L72" s="315"/>
      <c r="M72" s="315"/>
    </row>
    <row r="73" spans="1:13">
      <c r="A73" s="286" t="s">
        <v>320</v>
      </c>
      <c r="B73" s="279"/>
      <c r="C73" s="317"/>
      <c r="D73" s="317"/>
      <c r="E73" s="319"/>
      <c r="F73" s="320"/>
      <c r="G73" s="317">
        <v>0</v>
      </c>
      <c r="H73" s="321">
        <v>0</v>
      </c>
      <c r="I73" s="318">
        <v>630000</v>
      </c>
      <c r="J73" s="317">
        <v>756000</v>
      </c>
      <c r="K73" s="319">
        <v>907200</v>
      </c>
      <c r="L73" s="315"/>
      <c r="M73" s="315"/>
    </row>
    <row r="74" spans="1:13">
      <c r="A74" s="286" t="s">
        <v>321</v>
      </c>
      <c r="B74" s="279"/>
      <c r="C74" s="317">
        <v>439900.2</v>
      </c>
      <c r="D74" s="317">
        <v>262240.12</v>
      </c>
      <c r="E74" s="319"/>
      <c r="F74" s="320">
        <v>243800</v>
      </c>
      <c r="G74" s="317">
        <v>1243800</v>
      </c>
      <c r="H74" s="321">
        <v>1243800</v>
      </c>
      <c r="I74" s="318">
        <v>1318428</v>
      </c>
      <c r="J74" s="317">
        <v>1388304.6839999999</v>
      </c>
      <c r="K74" s="319">
        <v>1456331.6135159999</v>
      </c>
      <c r="L74" s="315"/>
      <c r="M74" s="315"/>
    </row>
    <row r="75" spans="1:13">
      <c r="A75" s="286" t="s">
        <v>322</v>
      </c>
      <c r="B75" s="279"/>
      <c r="C75" s="317"/>
      <c r="D75" s="317"/>
      <c r="E75" s="319"/>
      <c r="F75" s="320"/>
      <c r="G75" s="317">
        <v>0</v>
      </c>
      <c r="H75" s="321">
        <v>0</v>
      </c>
      <c r="I75" s="318"/>
      <c r="J75" s="317"/>
      <c r="K75" s="319"/>
      <c r="L75" s="315"/>
      <c r="M75" s="315"/>
    </row>
    <row r="76" spans="1:13">
      <c r="A76" s="286" t="s">
        <v>323</v>
      </c>
      <c r="B76" s="279">
        <v>6</v>
      </c>
      <c r="C76" s="317"/>
      <c r="D76" s="317"/>
      <c r="E76" s="319"/>
      <c r="F76" s="320"/>
      <c r="G76" s="317">
        <v>0</v>
      </c>
      <c r="H76" s="321">
        <v>0</v>
      </c>
      <c r="I76" s="318"/>
      <c r="J76" s="317"/>
      <c r="K76" s="319"/>
      <c r="L76" s="315"/>
      <c r="M76" s="315"/>
    </row>
    <row r="77" spans="1:13">
      <c r="A77" s="286" t="s">
        <v>79</v>
      </c>
      <c r="B77" s="279"/>
      <c r="C77" s="317"/>
      <c r="D77" s="317"/>
      <c r="E77" s="319"/>
      <c r="F77" s="320"/>
      <c r="G77" s="317">
        <v>0</v>
      </c>
      <c r="H77" s="321">
        <v>0</v>
      </c>
      <c r="I77" s="318"/>
      <c r="J77" s="317"/>
      <c r="K77" s="319"/>
      <c r="L77" s="315"/>
      <c r="M77" s="315"/>
    </row>
    <row r="78" spans="1:13" ht="25.5">
      <c r="A78" s="314" t="s">
        <v>324</v>
      </c>
      <c r="B78" s="299"/>
      <c r="C78" s="300">
        <v>1788052.5</v>
      </c>
      <c r="D78" s="300">
        <v>16878849.456249997</v>
      </c>
      <c r="E78" s="301">
        <v>0</v>
      </c>
      <c r="F78" s="302">
        <v>18934048.939999998</v>
      </c>
      <c r="G78" s="300">
        <v>19234048.939999998</v>
      </c>
      <c r="H78" s="303">
        <v>19234048.939999998</v>
      </c>
      <c r="I78" s="304">
        <v>22039799.344599999</v>
      </c>
      <c r="J78" s="300">
        <v>23782883.736168001</v>
      </c>
      <c r="K78" s="301">
        <v>25660533.671857402</v>
      </c>
      <c r="L78" s="315"/>
      <c r="M78" s="315"/>
    </row>
    <row r="79" spans="1:13">
      <c r="A79" s="263"/>
      <c r="B79" s="264"/>
      <c r="C79" s="263"/>
      <c r="D79" s="263"/>
      <c r="E79" s="263"/>
      <c r="F79" s="263"/>
      <c r="G79" s="263"/>
      <c r="H79" s="263"/>
      <c r="I79" s="263"/>
      <c r="J79" s="263"/>
      <c r="K79" s="263"/>
    </row>
    <row r="80" spans="1:13">
      <c r="A80" s="263"/>
      <c r="B80" s="264"/>
      <c r="C80" s="263"/>
      <c r="D80" s="263"/>
      <c r="E80" s="263"/>
      <c r="F80" s="263"/>
      <c r="G80" s="263"/>
      <c r="H80" s="263"/>
      <c r="I80" s="263"/>
      <c r="J80" s="263"/>
      <c r="K80" s="263"/>
    </row>
    <row r="81" spans="1:11">
      <c r="A81" s="263"/>
      <c r="B81" s="264"/>
      <c r="C81" s="263"/>
      <c r="D81" s="263"/>
      <c r="E81" s="263"/>
      <c r="F81" s="263"/>
      <c r="G81" s="263"/>
      <c r="H81" s="263"/>
      <c r="I81" s="263"/>
      <c r="J81" s="263"/>
      <c r="K81" s="263"/>
    </row>
    <row r="82" spans="1:11">
      <c r="A82" s="263"/>
      <c r="B82" s="264"/>
      <c r="C82" s="263"/>
      <c r="D82" s="263"/>
      <c r="E82" s="263"/>
      <c r="F82" s="263"/>
      <c r="G82" s="263"/>
      <c r="H82" s="263"/>
      <c r="I82" s="263"/>
      <c r="J82" s="263"/>
      <c r="K82" s="263"/>
    </row>
    <row r="83" spans="1:11">
      <c r="A83" s="263"/>
      <c r="B83" s="264"/>
      <c r="C83" s="263"/>
      <c r="D83" s="263"/>
      <c r="E83" s="263"/>
      <c r="F83" s="263"/>
      <c r="G83" s="263"/>
      <c r="H83" s="263"/>
      <c r="I83" s="263"/>
      <c r="J83" s="263"/>
      <c r="K83" s="263"/>
    </row>
    <row r="84" spans="1:11">
      <c r="A84" s="263"/>
      <c r="B84" s="264"/>
      <c r="C84" s="263"/>
      <c r="D84" s="263"/>
      <c r="E84" s="263"/>
      <c r="F84" s="263"/>
      <c r="G84" s="263"/>
      <c r="H84" s="263"/>
      <c r="I84" s="263"/>
      <c r="J84" s="263"/>
      <c r="K84" s="263"/>
    </row>
    <row r="85" spans="1:11">
      <c r="A85" s="263"/>
      <c r="B85" s="264"/>
      <c r="C85" s="263"/>
      <c r="D85" s="263"/>
      <c r="E85" s="263"/>
      <c r="F85" s="263"/>
      <c r="G85" s="263"/>
      <c r="H85" s="263"/>
      <c r="I85" s="263"/>
      <c r="J85" s="263"/>
      <c r="K85" s="263"/>
    </row>
    <row r="86" spans="1:11">
      <c r="A86" s="263"/>
      <c r="B86" s="264"/>
      <c r="C86" s="263"/>
      <c r="D86" s="263"/>
      <c r="E86" s="263"/>
      <c r="F86" s="263"/>
      <c r="G86" s="263"/>
      <c r="H86" s="263"/>
      <c r="I86" s="263"/>
      <c r="J86" s="263"/>
      <c r="K86" s="263"/>
    </row>
    <row r="87" spans="1:11">
      <c r="A87" s="263"/>
      <c r="B87" s="263"/>
      <c r="C87" s="263"/>
      <c r="D87" s="263"/>
      <c r="E87" s="263"/>
      <c r="F87" s="263"/>
      <c r="G87" s="263"/>
      <c r="H87" s="263"/>
      <c r="I87" s="263"/>
      <c r="J87" s="263"/>
      <c r="K87" s="263"/>
    </row>
  </sheetData>
  <mergeCells count="4">
    <mergeCell ref="F2:H2"/>
    <mergeCell ref="I2:K2"/>
    <mergeCell ref="A2:A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T50"/>
  <sheetViews>
    <sheetView workbookViewId="0">
      <selection activeCell="B1" sqref="B1:B1048576"/>
    </sheetView>
  </sheetViews>
  <sheetFormatPr defaultRowHeight="12.75"/>
  <cols>
    <col min="1" max="1" width="30.7109375" style="1104" customWidth="1"/>
    <col min="2" max="17" width="9.28515625" style="1104" customWidth="1"/>
    <col min="18" max="19" width="9.140625" style="1104"/>
    <col min="20" max="20" width="9.85546875" style="1104" customWidth="1"/>
    <col min="21" max="21" width="9.5703125" style="1104" customWidth="1"/>
    <col min="22" max="22" width="9.85546875" style="1104" customWidth="1"/>
    <col min="23" max="25" width="9.5703125" style="1104" customWidth="1"/>
    <col min="26" max="26" width="9.85546875" style="1104" customWidth="1"/>
    <col min="27" max="29" width="9.5703125" style="1104" customWidth="1"/>
    <col min="30" max="31" width="9.85546875" style="1104" customWidth="1"/>
    <col min="32" max="16384" width="9.140625" style="1104"/>
  </cols>
  <sheetData>
    <row r="1" spans="1:18" s="1236" customFormat="1">
      <c r="A1" s="1188" t="str">
        <f>muni&amp;" - "&amp;TableA2</f>
        <v>EC106 Sundays River Valley - Supporting Table SA2 Matrix Financial Performance Budget (revenue source/expenditure type and dept.)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  <c r="L1" s="1188"/>
      <c r="M1" s="1188"/>
      <c r="N1" s="1188"/>
      <c r="O1" s="1188"/>
      <c r="P1" s="1188"/>
      <c r="Q1" s="1188"/>
    </row>
    <row r="2" spans="1:18" s="1126" customFormat="1">
      <c r="A2" s="1388" t="str">
        <f>desc</f>
        <v>Description</v>
      </c>
      <c r="B2" s="1435" t="str">
        <f>'[2]A3-FinPerf V'!A5</f>
        <v>Vote 1 - Executive &amp; Council</v>
      </c>
      <c r="C2" s="1435" t="str">
        <f>'[2]A3-FinPerf V'!A6</f>
        <v>Vote 2 - Finance &amp; Administration</v>
      </c>
      <c r="D2" s="1435" t="str">
        <f>'[2]A3-FinPerf V'!A7</f>
        <v>Vote 3 - Planning &amp; Development</v>
      </c>
      <c r="E2" s="1435" t="str">
        <f>'[2]A3-FinPerf V'!A8</f>
        <v>Vote 4 - Health</v>
      </c>
      <c r="F2" s="1435" t="str">
        <f>'[2]A3-FinPerf V'!A9</f>
        <v>Vote 5 - Community and Social Services</v>
      </c>
      <c r="G2" s="1435" t="str">
        <f>'[2]A3-FinPerf V'!A10</f>
        <v>Vote 6 - Public Safety</v>
      </c>
      <c r="H2" s="1435" t="str">
        <f>'[2]A3-FinPerf V'!A11</f>
        <v>Vote 7 - Sport and Recreation</v>
      </c>
      <c r="I2" s="1435" t="str">
        <f>'[2]A3-FinPerf V'!A12</f>
        <v>Vote 8 - Environmental Protection</v>
      </c>
      <c r="J2" s="1435" t="str">
        <f>'[2]A3-FinPerf V'!A13</f>
        <v>Vote 9 - Roads &amp; Transport</v>
      </c>
      <c r="K2" s="1435" t="str">
        <f>'[2]A3-FinPerf V'!A14</f>
        <v>Vote 10 - Housing Services</v>
      </c>
      <c r="L2" s="1435" t="str">
        <f>'[2]A3-FinPerf V'!A15</f>
        <v>Vote 11 - Solid Waste</v>
      </c>
      <c r="M2" s="1435" t="str">
        <f>'[2]A3-FinPerf V'!A16</f>
        <v>Vote 12 - Waste Water Management</v>
      </c>
      <c r="N2" s="1435" t="str">
        <f>'[2]A3-FinPerf V'!A17</f>
        <v>Vote 13 - Electricity</v>
      </c>
      <c r="O2" s="1435" t="str">
        <f>'[2]A3-FinPerf V'!A18</f>
        <v>Vote 14 - Water Service Authority</v>
      </c>
      <c r="P2" s="1435" t="str">
        <f>'[2]A3-FinPerf V'!A19</f>
        <v>Vote 15 - [NAME OF VOTE 15]</v>
      </c>
      <c r="Q2" s="1437" t="s">
        <v>238</v>
      </c>
      <c r="R2" s="1389"/>
    </row>
    <row r="3" spans="1:18">
      <c r="A3" s="1192" t="s">
        <v>68</v>
      </c>
      <c r="B3" s="1436" t="s">
        <v>325</v>
      </c>
      <c r="C3" s="1436" t="s">
        <v>325</v>
      </c>
      <c r="D3" s="1436" t="s">
        <v>325</v>
      </c>
      <c r="E3" s="1436" t="s">
        <v>325</v>
      </c>
      <c r="F3" s="1436" t="s">
        <v>325</v>
      </c>
      <c r="G3" s="1436" t="s">
        <v>325</v>
      </c>
      <c r="H3" s="1436"/>
      <c r="I3" s="1436"/>
      <c r="J3" s="1436"/>
      <c r="K3" s="1436"/>
      <c r="L3" s="1436"/>
      <c r="M3" s="1436"/>
      <c r="N3" s="1436"/>
      <c r="O3" s="1436"/>
      <c r="P3" s="1436" t="s">
        <v>325</v>
      </c>
      <c r="Q3" s="1438" t="s">
        <v>325</v>
      </c>
    </row>
    <row r="4" spans="1:18">
      <c r="A4" s="1390" t="str">
        <f>'[2]A4-FinPerf RE'!A4</f>
        <v>Revenue By Source</v>
      </c>
      <c r="B4" s="1369"/>
      <c r="C4" s="1369"/>
      <c r="D4" s="1369"/>
      <c r="E4" s="1369"/>
      <c r="F4" s="1369"/>
      <c r="G4" s="1369"/>
      <c r="H4" s="1369"/>
      <c r="I4" s="1369"/>
      <c r="J4" s="1369"/>
      <c r="K4" s="1369"/>
      <c r="L4" s="1369"/>
      <c r="M4" s="1369"/>
      <c r="N4" s="1369"/>
      <c r="O4" s="1369"/>
      <c r="P4" s="1369"/>
      <c r="Q4" s="1391"/>
    </row>
    <row r="5" spans="1:18">
      <c r="A5" s="1392" t="str">
        <f>'[2]A4-FinPerf RE'!A5</f>
        <v>Property rates</v>
      </c>
      <c r="B5" s="1319"/>
      <c r="C5" s="1319">
        <v>16022691.595400002</v>
      </c>
      <c r="D5" s="1319"/>
      <c r="E5" s="1319"/>
      <c r="F5" s="1319"/>
      <c r="G5" s="1319"/>
      <c r="H5" s="1319"/>
      <c r="I5" s="1319"/>
      <c r="J5" s="1319"/>
      <c r="K5" s="1319"/>
      <c r="L5" s="1319"/>
      <c r="M5" s="1319"/>
      <c r="N5" s="1319"/>
      <c r="O5" s="1319"/>
      <c r="P5" s="1319"/>
      <c r="Q5" s="1393">
        <f>SUM(B5:P5)</f>
        <v>16022691.595400002</v>
      </c>
    </row>
    <row r="6" spans="1:18">
      <c r="A6" s="1392" t="str">
        <f>'[2]A4-FinPerf RE'!A6</f>
        <v>Property rates - penalties &amp; collection charges</v>
      </c>
      <c r="B6" s="1319"/>
      <c r="C6" s="1319"/>
      <c r="D6" s="1319"/>
      <c r="E6" s="1319"/>
      <c r="F6" s="1319"/>
      <c r="G6" s="1319"/>
      <c r="H6" s="1319"/>
      <c r="I6" s="1319"/>
      <c r="J6" s="1319"/>
      <c r="K6" s="1319"/>
      <c r="L6" s="1319"/>
      <c r="M6" s="1319"/>
      <c r="N6" s="1319">
        <v>23092.736159999997</v>
      </c>
      <c r="O6" s="1319"/>
      <c r="P6" s="1319"/>
      <c r="Q6" s="1393">
        <f t="shared" ref="Q6:Q21" si="0">SUM(B6:P6)</f>
        <v>23092.736159999997</v>
      </c>
    </row>
    <row r="7" spans="1:18">
      <c r="A7" s="1392" t="str">
        <f>'[2]A4-FinPerf RE'!A7</f>
        <v>Service charges - electricity revenue</v>
      </c>
      <c r="B7" s="1319"/>
      <c r="C7" s="1319"/>
      <c r="D7" s="1319"/>
      <c r="E7" s="1319"/>
      <c r="F7" s="1319"/>
      <c r="G7" s="1319"/>
      <c r="H7" s="1319"/>
      <c r="I7" s="1319"/>
      <c r="J7" s="1319"/>
      <c r="K7" s="1319"/>
      <c r="L7" s="1319"/>
      <c r="M7" s="1319"/>
      <c r="N7" s="1319">
        <v>16276204.135500001</v>
      </c>
      <c r="O7" s="1319"/>
      <c r="P7" s="1319"/>
      <c r="Q7" s="1393">
        <f t="shared" si="0"/>
        <v>16276204.135500001</v>
      </c>
    </row>
    <row r="8" spans="1:18">
      <c r="A8" s="1392" t="str">
        <f>'[2]A4-FinPerf RE'!A8</f>
        <v>Service charges - water revenue</v>
      </c>
      <c r="B8" s="1319"/>
      <c r="C8" s="1319"/>
      <c r="D8" s="1319"/>
      <c r="E8" s="1319"/>
      <c r="F8" s="1319"/>
      <c r="G8" s="1319"/>
      <c r="H8" s="1319"/>
      <c r="I8" s="1319"/>
      <c r="J8" s="1319"/>
      <c r="K8" s="1319"/>
      <c r="L8" s="1319"/>
      <c r="M8" s="1319"/>
      <c r="N8" s="1319"/>
      <c r="O8" s="1319">
        <v>10831313.737199999</v>
      </c>
      <c r="P8" s="1319"/>
      <c r="Q8" s="1393">
        <f t="shared" si="0"/>
        <v>10831313.737199999</v>
      </c>
    </row>
    <row r="9" spans="1:18">
      <c r="A9" s="1392" t="str">
        <f>'[2]A4-FinPerf RE'!A9</f>
        <v>Service charges - sanitation revenue</v>
      </c>
      <c r="B9" s="1319"/>
      <c r="C9" s="1319"/>
      <c r="D9" s="1319"/>
      <c r="E9" s="1319"/>
      <c r="F9" s="1319"/>
      <c r="G9" s="1319"/>
      <c r="H9" s="1319"/>
      <c r="I9" s="1319"/>
      <c r="J9" s="1319"/>
      <c r="K9" s="1319"/>
      <c r="L9" s="1319"/>
      <c r="M9" s="1319">
        <v>2918257</v>
      </c>
      <c r="N9" s="1319"/>
      <c r="O9" s="1319"/>
      <c r="P9" s="1319"/>
      <c r="Q9" s="1393">
        <f t="shared" si="0"/>
        <v>2918257</v>
      </c>
    </row>
    <row r="10" spans="1:18">
      <c r="A10" s="1392" t="str">
        <f>'[2]A4-FinPerf RE'!A10</f>
        <v>Service charges - refuse revenue</v>
      </c>
      <c r="B10" s="1319"/>
      <c r="C10" s="1319"/>
      <c r="D10" s="1319"/>
      <c r="E10" s="1319"/>
      <c r="F10" s="1319"/>
      <c r="G10" s="1319"/>
      <c r="H10" s="1319"/>
      <c r="I10" s="1319"/>
      <c r="J10" s="1319"/>
      <c r="K10" s="1319"/>
      <c r="L10" s="1319">
        <v>5517945.1282000011</v>
      </c>
      <c r="M10" s="1319"/>
      <c r="N10" s="1319"/>
      <c r="O10" s="1319"/>
      <c r="P10" s="1319"/>
      <c r="Q10" s="1393">
        <f t="shared" si="0"/>
        <v>5517945.1282000011</v>
      </c>
    </row>
    <row r="11" spans="1:18">
      <c r="A11" s="1392" t="str">
        <f>'[2]A4-FinPerf RE'!A11</f>
        <v>Service charges - other</v>
      </c>
      <c r="B11" s="1319"/>
      <c r="C11" s="1319">
        <v>1284.8048000000001</v>
      </c>
      <c r="D11" s="1319"/>
      <c r="E11" s="1319"/>
      <c r="F11" s="1319"/>
      <c r="G11" s="1319"/>
      <c r="H11" s="1319"/>
      <c r="I11" s="1319"/>
      <c r="J11" s="1319"/>
      <c r="K11" s="1319">
        <v>86886.080000000016</v>
      </c>
      <c r="L11" s="1319"/>
      <c r="M11" s="1319"/>
      <c r="N11" s="1319"/>
      <c r="O11" s="1319"/>
      <c r="P11" s="1319"/>
      <c r="Q11" s="1393">
        <f t="shared" si="0"/>
        <v>88170.884800000014</v>
      </c>
    </row>
    <row r="12" spans="1:18">
      <c r="A12" s="1392" t="str">
        <f>'[2]A4-FinPerf RE'!A12</f>
        <v>Rental of facilities and equipment</v>
      </c>
      <c r="B12" s="1319"/>
      <c r="C12" s="1319">
        <v>27477.417284510408</v>
      </c>
      <c r="D12" s="1319">
        <v>16909.750000000004</v>
      </c>
      <c r="E12" s="1319"/>
      <c r="F12" s="1319">
        <v>20469.0664</v>
      </c>
      <c r="G12" s="1319"/>
      <c r="H12" s="1319">
        <v>3674.1720000000005</v>
      </c>
      <c r="I12" s="1319"/>
      <c r="J12" s="1319"/>
      <c r="K12" s="1319"/>
      <c r="L12" s="1319"/>
      <c r="M12" s="1319"/>
      <c r="N12" s="1319"/>
      <c r="O12" s="1319"/>
      <c r="P12" s="1319"/>
      <c r="Q12" s="1393">
        <f t="shared" si="0"/>
        <v>68530.405684510421</v>
      </c>
    </row>
    <row r="13" spans="1:18">
      <c r="A13" s="1392" t="str">
        <f>'[2]A4-FinPerf RE'!A13</f>
        <v>Interest earned - external investments</v>
      </c>
      <c r="B13" s="1319"/>
      <c r="C13" s="1319">
        <v>205316.7</v>
      </c>
      <c r="D13" s="1319"/>
      <c r="E13" s="1319"/>
      <c r="F13" s="1319"/>
      <c r="G13" s="1319"/>
      <c r="H13" s="1319"/>
      <c r="I13" s="1319"/>
      <c r="J13" s="1319">
        <v>6569.0245799999993</v>
      </c>
      <c r="K13" s="1319"/>
      <c r="L13" s="1319"/>
      <c r="M13" s="1319"/>
      <c r="N13" s="1319"/>
      <c r="O13" s="1319"/>
      <c r="P13" s="1319"/>
      <c r="Q13" s="1393">
        <f t="shared" si="0"/>
        <v>211885.72458000001</v>
      </c>
    </row>
    <row r="14" spans="1:18">
      <c r="A14" s="1392" t="str">
        <f>'[2]A4-FinPerf RE'!A14</f>
        <v>Interest earned - outstanding debtors</v>
      </c>
      <c r="B14" s="1319"/>
      <c r="C14" s="1319">
        <v>801134.57977000007</v>
      </c>
      <c r="D14" s="1319"/>
      <c r="E14" s="1319"/>
      <c r="F14" s="1319"/>
      <c r="G14" s="1319"/>
      <c r="H14" s="1319"/>
      <c r="I14" s="1319"/>
      <c r="J14" s="1319"/>
      <c r="K14" s="1319"/>
      <c r="L14" s="1319">
        <v>275897.25641000009</v>
      </c>
      <c r="M14" s="1319">
        <v>145912.85</v>
      </c>
      <c r="N14" s="1319">
        <v>276549.21491665771</v>
      </c>
      <c r="O14" s="1319">
        <v>532952.93087000004</v>
      </c>
      <c r="P14" s="1319"/>
      <c r="Q14" s="1393">
        <f t="shared" si="0"/>
        <v>2032446.8319666579</v>
      </c>
    </row>
    <row r="15" spans="1:18">
      <c r="A15" s="1392" t="str">
        <f>'[2]A4-FinPerf RE'!A15</f>
        <v>Dividends received</v>
      </c>
      <c r="B15" s="1319"/>
      <c r="C15" s="1319"/>
      <c r="D15" s="1319"/>
      <c r="E15" s="1319"/>
      <c r="F15" s="1319"/>
      <c r="G15" s="1319"/>
      <c r="H15" s="1319"/>
      <c r="I15" s="1319"/>
      <c r="J15" s="1319"/>
      <c r="K15" s="1319"/>
      <c r="L15" s="1319"/>
      <c r="M15" s="1319"/>
      <c r="N15" s="1319"/>
      <c r="O15" s="1319"/>
      <c r="P15" s="1319"/>
      <c r="Q15" s="1393">
        <f t="shared" si="0"/>
        <v>0</v>
      </c>
    </row>
    <row r="16" spans="1:18">
      <c r="A16" s="1392" t="str">
        <f>'[2]A4-FinPerf RE'!A16</f>
        <v>Fines</v>
      </c>
      <c r="B16" s="1319"/>
      <c r="C16" s="1319">
        <v>9820.9</v>
      </c>
      <c r="D16" s="1319"/>
      <c r="E16" s="1319"/>
      <c r="F16" s="1319">
        <v>1057.3000000000002</v>
      </c>
      <c r="G16" s="1319">
        <v>1060000</v>
      </c>
      <c r="H16" s="1319"/>
      <c r="I16" s="1319">
        <v>763</v>
      </c>
      <c r="J16" s="1319"/>
      <c r="K16" s="1319"/>
      <c r="L16" s="1319"/>
      <c r="M16" s="1319"/>
      <c r="N16" s="1319">
        <v>960</v>
      </c>
      <c r="O16" s="1319"/>
      <c r="P16" s="1319"/>
      <c r="Q16" s="1393">
        <f t="shared" si="0"/>
        <v>1072601.2</v>
      </c>
    </row>
    <row r="17" spans="1:17">
      <c r="A17" s="1392" t="str">
        <f>'[2]A4-FinPerf RE'!A17</f>
        <v>Licences and permits</v>
      </c>
      <c r="B17" s="1319"/>
      <c r="C17" s="1319"/>
      <c r="D17" s="1319"/>
      <c r="E17" s="1319"/>
      <c r="F17" s="1319"/>
      <c r="G17" s="1319"/>
      <c r="H17" s="1319"/>
      <c r="I17" s="1319"/>
      <c r="J17" s="1319">
        <v>2651102.5386800002</v>
      </c>
      <c r="K17" s="1319"/>
      <c r="L17" s="1319"/>
      <c r="M17" s="1319"/>
      <c r="N17" s="1319"/>
      <c r="O17" s="1319"/>
      <c r="P17" s="1319"/>
      <c r="Q17" s="1393">
        <f t="shared" si="0"/>
        <v>2651102.5386800002</v>
      </c>
    </row>
    <row r="18" spans="1:17">
      <c r="A18" s="1392" t="str">
        <f>'[2]A4-FinPerf RE'!A18</f>
        <v>Agency services</v>
      </c>
      <c r="B18" s="1319"/>
      <c r="C18" s="1319"/>
      <c r="D18" s="1319"/>
      <c r="E18" s="1319"/>
      <c r="F18" s="1319"/>
      <c r="G18" s="1319"/>
      <c r="H18" s="1319"/>
      <c r="I18" s="1319"/>
      <c r="J18" s="1319">
        <v>1173079.74</v>
      </c>
      <c r="K18" s="1319"/>
      <c r="L18" s="1319"/>
      <c r="M18" s="1319"/>
      <c r="N18" s="1319"/>
      <c r="O18" s="1319"/>
      <c r="P18" s="1319"/>
      <c r="Q18" s="1393">
        <f t="shared" si="0"/>
        <v>1173079.74</v>
      </c>
    </row>
    <row r="19" spans="1:17">
      <c r="A19" s="1374" t="str">
        <f>'[2]A4-FinPerf RE'!A20</f>
        <v>Other revenue</v>
      </c>
      <c r="B19" s="1319"/>
      <c r="C19" s="1319">
        <v>2204546.8748711012</v>
      </c>
      <c r="D19" s="1319">
        <v>5450</v>
      </c>
      <c r="E19" s="1319"/>
      <c r="F19" s="1319">
        <v>87418</v>
      </c>
      <c r="G19" s="1319"/>
      <c r="H19" s="1319">
        <v>3898.3196000000003</v>
      </c>
      <c r="I19" s="1319"/>
      <c r="J19" s="1319"/>
      <c r="K19" s="1319"/>
      <c r="L19" s="1319">
        <v>144</v>
      </c>
      <c r="M19" s="1319">
        <v>879.4799999999999</v>
      </c>
      <c r="N19" s="1319">
        <v>2978931.18432</v>
      </c>
      <c r="O19" s="1319">
        <v>37056.190200000005</v>
      </c>
      <c r="P19" s="1319"/>
      <c r="Q19" s="1393">
        <f t="shared" si="0"/>
        <v>5318324.0489911018</v>
      </c>
    </row>
    <row r="20" spans="1:17">
      <c r="A20" s="1392" t="str">
        <f>'[2]A4-FinPerf RE'!A19</f>
        <v>Transfers recognised - operational</v>
      </c>
      <c r="B20" s="1319">
        <v>1993000</v>
      </c>
      <c r="C20" s="1319">
        <v>25054823</v>
      </c>
      <c r="D20" s="1319">
        <v>2270940</v>
      </c>
      <c r="E20" s="1319"/>
      <c r="F20" s="1319">
        <v>1156979</v>
      </c>
      <c r="G20" s="1319"/>
      <c r="H20" s="1319"/>
      <c r="I20" s="1319">
        <v>967940.06</v>
      </c>
      <c r="J20" s="1319"/>
      <c r="K20" s="1319"/>
      <c r="L20" s="1319">
        <v>4358767</v>
      </c>
      <c r="M20" s="1319">
        <v>1853334</v>
      </c>
      <c r="N20" s="1319"/>
      <c r="O20" s="1319">
        <v>5354076</v>
      </c>
      <c r="P20" s="1319"/>
      <c r="Q20" s="1393">
        <f t="shared" si="0"/>
        <v>43009859.060000002</v>
      </c>
    </row>
    <row r="21" spans="1:17">
      <c r="A21" s="1374" t="str">
        <f>'[2]A4-FinPerf RE'!A21</f>
        <v>Gains on disposal of PPE</v>
      </c>
      <c r="B21" s="1319"/>
      <c r="C21" s="1319"/>
      <c r="D21" s="1319"/>
      <c r="E21" s="1319"/>
      <c r="F21" s="1319"/>
      <c r="G21" s="1319"/>
      <c r="H21" s="1319"/>
      <c r="I21" s="1319"/>
      <c r="J21" s="1319"/>
      <c r="K21" s="1319"/>
      <c r="L21" s="1319"/>
      <c r="M21" s="1319"/>
      <c r="N21" s="1319"/>
      <c r="O21" s="1319"/>
      <c r="P21" s="1319"/>
      <c r="Q21" s="1393">
        <f t="shared" si="0"/>
        <v>0</v>
      </c>
    </row>
    <row r="22" spans="1:17">
      <c r="A22" s="1368" t="str">
        <f>'[2]A4-FinPerf RE'!A22</f>
        <v>Total Revenue (excluding capital transfers and contributions)</v>
      </c>
      <c r="B22" s="1340">
        <f t="shared" ref="B22:Q22" si="1">SUM(B5:B21)</f>
        <v>1993000</v>
      </c>
      <c r="C22" s="1340">
        <f t="shared" si="1"/>
        <v>44327095.872125611</v>
      </c>
      <c r="D22" s="1340">
        <f t="shared" si="1"/>
        <v>2293299.75</v>
      </c>
      <c r="E22" s="1340">
        <f t="shared" si="1"/>
        <v>0</v>
      </c>
      <c r="F22" s="1340">
        <f t="shared" si="1"/>
        <v>1265923.3663999999</v>
      </c>
      <c r="G22" s="1340">
        <f t="shared" si="1"/>
        <v>1060000</v>
      </c>
      <c r="H22" s="1340">
        <f t="shared" si="1"/>
        <v>7572.4916000000012</v>
      </c>
      <c r="I22" s="1340">
        <f t="shared" si="1"/>
        <v>968703.06</v>
      </c>
      <c r="J22" s="1340">
        <f t="shared" si="1"/>
        <v>3830751.3032600004</v>
      </c>
      <c r="K22" s="1340">
        <f t="shared" si="1"/>
        <v>86886.080000000016</v>
      </c>
      <c r="L22" s="1340">
        <f t="shared" si="1"/>
        <v>10152753.384610001</v>
      </c>
      <c r="M22" s="1340">
        <f t="shared" si="1"/>
        <v>4918383.33</v>
      </c>
      <c r="N22" s="1340">
        <f t="shared" si="1"/>
        <v>19555737.270896658</v>
      </c>
      <c r="O22" s="1340">
        <f t="shared" si="1"/>
        <v>16755398.858269999</v>
      </c>
      <c r="P22" s="1340">
        <f t="shared" si="1"/>
        <v>0</v>
      </c>
      <c r="Q22" s="1394">
        <f t="shared" si="1"/>
        <v>107215504.76716229</v>
      </c>
    </row>
    <row r="23" spans="1:17">
      <c r="A23" s="1380"/>
      <c r="B23" s="1327"/>
      <c r="C23" s="1327"/>
      <c r="D23" s="1327"/>
      <c r="E23" s="1327"/>
      <c r="F23" s="1327"/>
      <c r="G23" s="1327"/>
      <c r="H23" s="1327"/>
      <c r="I23" s="1327"/>
      <c r="J23" s="1327"/>
      <c r="K23" s="1327"/>
      <c r="L23" s="1327"/>
      <c r="M23" s="1327"/>
      <c r="N23" s="1327"/>
      <c r="O23" s="1327"/>
      <c r="P23" s="1327"/>
      <c r="Q23" s="1393"/>
    </row>
    <row r="24" spans="1:17">
      <c r="A24" s="1390" t="str">
        <f>'[2]A4-FinPerf RE'!A24</f>
        <v>Expenditure By Type</v>
      </c>
      <c r="B24" s="1327"/>
      <c r="C24" s="1327"/>
      <c r="D24" s="1327"/>
      <c r="E24" s="1327"/>
      <c r="F24" s="1327"/>
      <c r="G24" s="1327"/>
      <c r="H24" s="1327"/>
      <c r="I24" s="1327"/>
      <c r="J24" s="1327"/>
      <c r="K24" s="1327"/>
      <c r="L24" s="1327"/>
      <c r="M24" s="1327"/>
      <c r="N24" s="1327"/>
      <c r="O24" s="1327"/>
      <c r="P24" s="1327"/>
      <c r="Q24" s="1393"/>
    </row>
    <row r="25" spans="1:17">
      <c r="A25" s="1392" t="str">
        <f>'[2]A4-FinPerf RE'!A25</f>
        <v>Employee related costs</v>
      </c>
      <c r="B25" s="1319">
        <v>2588920</v>
      </c>
      <c r="C25" s="1319">
        <v>9320028</v>
      </c>
      <c r="D25" s="1319">
        <v>3054279</v>
      </c>
      <c r="E25" s="1319"/>
      <c r="F25" s="1319">
        <v>2297878</v>
      </c>
      <c r="G25" s="1319">
        <v>4130267</v>
      </c>
      <c r="H25" s="1319">
        <v>321586</v>
      </c>
      <c r="I25" s="1319">
        <v>754715</v>
      </c>
      <c r="J25" s="1319">
        <v>2013181</v>
      </c>
      <c r="K25" s="1319">
        <v>209482</v>
      </c>
      <c r="L25" s="1319">
        <v>2236675</v>
      </c>
      <c r="M25" s="1319">
        <v>1931855</v>
      </c>
      <c r="N25" s="1319">
        <v>591087</v>
      </c>
      <c r="O25" s="1319">
        <v>2979062</v>
      </c>
      <c r="P25" s="1319"/>
      <c r="Q25" s="1393">
        <f>SUM(B25:P25)</f>
        <v>32429015</v>
      </c>
    </row>
    <row r="26" spans="1:17">
      <c r="A26" s="1392" t="str">
        <f>'[2]A4-FinPerf RE'!A26</f>
        <v>Remuneration of councillors</v>
      </c>
      <c r="B26" s="1319">
        <v>4529524.2069000006</v>
      </c>
      <c r="C26" s="1319"/>
      <c r="D26" s="1319"/>
      <c r="E26" s="1319"/>
      <c r="F26" s="1319"/>
      <c r="G26" s="1319"/>
      <c r="H26" s="1319"/>
      <c r="I26" s="1319"/>
      <c r="J26" s="1319"/>
      <c r="K26" s="1319"/>
      <c r="L26" s="1319"/>
      <c r="M26" s="1319"/>
      <c r="N26" s="1319"/>
      <c r="O26" s="1319"/>
      <c r="P26" s="1319"/>
      <c r="Q26" s="1393">
        <f t="shared" ref="Q26:Q35" si="2">SUM(B26:P26)</f>
        <v>4529524.2069000006</v>
      </c>
    </row>
    <row r="27" spans="1:17">
      <c r="A27" s="1392" t="str">
        <f>'[2]A4-FinPerf RE'!A27</f>
        <v>Debt impairment</v>
      </c>
      <c r="B27" s="1319"/>
      <c r="C27" s="1319">
        <v>15000000</v>
      </c>
      <c r="D27" s="1319"/>
      <c r="E27" s="1319"/>
      <c r="F27" s="1319"/>
      <c r="G27" s="1319"/>
      <c r="H27" s="1319"/>
      <c r="I27" s="1319"/>
      <c r="J27" s="1319"/>
      <c r="K27" s="1319"/>
      <c r="L27" s="1319"/>
      <c r="M27" s="1319"/>
      <c r="N27" s="1319"/>
      <c r="O27" s="1319"/>
      <c r="P27" s="1319"/>
      <c r="Q27" s="1393">
        <f t="shared" si="2"/>
        <v>15000000</v>
      </c>
    </row>
    <row r="28" spans="1:17">
      <c r="A28" s="1392" t="str">
        <f>'[2]A4-FinPerf RE'!A28</f>
        <v>Depreciation &amp; asset impairment</v>
      </c>
      <c r="B28" s="1319"/>
      <c r="C28" s="1319">
        <v>7500000</v>
      </c>
      <c r="D28" s="1319"/>
      <c r="E28" s="1319"/>
      <c r="F28" s="1319"/>
      <c r="G28" s="1319"/>
      <c r="H28" s="1319"/>
      <c r="I28" s="1319"/>
      <c r="J28" s="1319"/>
      <c r="K28" s="1319"/>
      <c r="L28" s="1319"/>
      <c r="M28" s="1319"/>
      <c r="N28" s="1319"/>
      <c r="O28" s="1319"/>
      <c r="P28" s="1319"/>
      <c r="Q28" s="1393">
        <f t="shared" si="2"/>
        <v>7500000</v>
      </c>
    </row>
    <row r="29" spans="1:17">
      <c r="A29" s="1392" t="str">
        <f>'[2]A4-FinPerf RE'!A29</f>
        <v>Finance charges</v>
      </c>
      <c r="B29" s="1319"/>
      <c r="C29" s="1319">
        <v>439900</v>
      </c>
      <c r="D29" s="1319">
        <v>32454.117091759999</v>
      </c>
      <c r="E29" s="1319"/>
      <c r="F29" s="1319"/>
      <c r="G29" s="1319"/>
      <c r="H29" s="1319">
        <v>4770</v>
      </c>
      <c r="I29" s="1319"/>
      <c r="J29" s="1319">
        <v>246346.74540000001</v>
      </c>
      <c r="K29" s="1319"/>
      <c r="L29" s="1319"/>
      <c r="M29" s="1319"/>
      <c r="N29" s="1319"/>
      <c r="O29" s="1319"/>
      <c r="P29" s="1319"/>
      <c r="Q29" s="1393">
        <f t="shared" si="2"/>
        <v>723470.86249175994</v>
      </c>
    </row>
    <row r="30" spans="1:17">
      <c r="A30" s="1392" t="str">
        <f>'[2]A4-FinPerf RE'!A30</f>
        <v>Bulk purchases</v>
      </c>
      <c r="B30" s="1319"/>
      <c r="C30" s="1319"/>
      <c r="D30" s="1319"/>
      <c r="E30" s="1319"/>
      <c r="F30" s="1319"/>
      <c r="G30" s="1319"/>
      <c r="H30" s="1319"/>
      <c r="I30" s="1319"/>
      <c r="J30" s="1319"/>
      <c r="K30" s="1319"/>
      <c r="L30" s="1319"/>
      <c r="M30" s="1319"/>
      <c r="N30" s="1319">
        <v>11869197.249977527</v>
      </c>
      <c r="O30" s="1319">
        <v>554910</v>
      </c>
      <c r="P30" s="1319"/>
      <c r="Q30" s="1393">
        <f t="shared" si="2"/>
        <v>12424107.249977527</v>
      </c>
    </row>
    <row r="31" spans="1:17">
      <c r="A31" s="1392" t="str">
        <f>'[2]A4-FinPerf RE'!A31</f>
        <v>Other materials</v>
      </c>
      <c r="B31" s="1319"/>
      <c r="C31" s="1319"/>
      <c r="D31" s="1319"/>
      <c r="E31" s="1319"/>
      <c r="F31" s="1319"/>
      <c r="G31" s="1319"/>
      <c r="H31" s="1319"/>
      <c r="I31" s="1319"/>
      <c r="J31" s="1319"/>
      <c r="K31" s="1319"/>
      <c r="L31" s="1319"/>
      <c r="M31" s="1319"/>
      <c r="N31" s="1319"/>
      <c r="O31" s="1319"/>
      <c r="P31" s="1319"/>
      <c r="Q31" s="1393">
        <f t="shared" si="2"/>
        <v>0</v>
      </c>
    </row>
    <row r="32" spans="1:17">
      <c r="A32" s="1392" t="str">
        <f>'[2]A4-FinPerf RE'!A32</f>
        <v>Contracted services</v>
      </c>
      <c r="B32" s="1319"/>
      <c r="C32" s="1319">
        <v>949288</v>
      </c>
      <c r="D32" s="1319">
        <v>20860.800000000003</v>
      </c>
      <c r="E32" s="1319"/>
      <c r="F32" s="1319">
        <v>108600</v>
      </c>
      <c r="G32" s="1319">
        <v>138394.68</v>
      </c>
      <c r="H32" s="1319">
        <v>6953.6</v>
      </c>
      <c r="I32" s="1319"/>
      <c r="J32" s="1319"/>
      <c r="K32" s="1319"/>
      <c r="L32" s="1319">
        <v>756953.59999999998</v>
      </c>
      <c r="M32" s="1319">
        <v>6953.6</v>
      </c>
      <c r="N32" s="1319"/>
      <c r="O32" s="1319">
        <v>5549</v>
      </c>
      <c r="P32" s="1319"/>
      <c r="Q32" s="1393">
        <f t="shared" si="2"/>
        <v>1993553.2800000003</v>
      </c>
    </row>
    <row r="33" spans="1:20">
      <c r="A33" s="1392" t="str">
        <f>'[2]A4-FinPerf RE'!A33</f>
        <v>Transfers and grants</v>
      </c>
      <c r="B33" s="1319">
        <v>15000</v>
      </c>
      <c r="C33" s="1319">
        <v>74200</v>
      </c>
      <c r="D33" s="1319"/>
      <c r="E33" s="1319"/>
      <c r="F33" s="1319"/>
      <c r="G33" s="1319"/>
      <c r="H33" s="1319"/>
      <c r="I33" s="1319"/>
      <c r="J33" s="1319"/>
      <c r="K33" s="1319"/>
      <c r="L33" s="1319">
        <v>1318428</v>
      </c>
      <c r="M33" s="1319">
        <v>848000</v>
      </c>
      <c r="N33" s="1319"/>
      <c r="O33" s="1319">
        <v>1378000</v>
      </c>
      <c r="P33" s="1319"/>
      <c r="Q33" s="1393">
        <f t="shared" si="2"/>
        <v>3633628</v>
      </c>
    </row>
    <row r="34" spans="1:20">
      <c r="A34" s="1392" t="str">
        <f>'[2]A4-FinPerf RE'!A34</f>
        <v>Other expenditure</v>
      </c>
      <c r="B34" s="1319">
        <v>4637189.1958675021</v>
      </c>
      <c r="C34" s="1319">
        <v>8700309</v>
      </c>
      <c r="D34" s="1319">
        <f>3029437+700</f>
        <v>3030137</v>
      </c>
      <c r="E34" s="1319"/>
      <c r="F34" s="1319">
        <v>679204</v>
      </c>
      <c r="G34" s="1319">
        <v>2424543.1561025921</v>
      </c>
      <c r="H34" s="1319">
        <v>369812</v>
      </c>
      <c r="I34" s="1319">
        <v>280215.13857000001</v>
      </c>
      <c r="J34" s="1319">
        <v>2782659</v>
      </c>
      <c r="K34" s="1319">
        <v>139548</v>
      </c>
      <c r="L34" s="1319">
        <v>1121170</v>
      </c>
      <c r="M34" s="1319">
        <v>1947423</v>
      </c>
      <c r="N34" s="1319">
        <v>2369033.9239983996</v>
      </c>
      <c r="O34" s="1319">
        <v>3587177</v>
      </c>
      <c r="P34" s="1319"/>
      <c r="Q34" s="1393">
        <f t="shared" si="2"/>
        <v>32068420.414538492</v>
      </c>
    </row>
    <row r="35" spans="1:20">
      <c r="A35" s="1392" t="str">
        <f>'[2]A4-FinPerf RE'!A35</f>
        <v>Loss on disposal of PPE</v>
      </c>
      <c r="B35" s="1319"/>
      <c r="C35" s="1319"/>
      <c r="D35" s="1319"/>
      <c r="E35" s="1319"/>
      <c r="F35" s="1319"/>
      <c r="G35" s="1319"/>
      <c r="H35" s="1319"/>
      <c r="I35" s="1319"/>
      <c r="J35" s="1319"/>
      <c r="K35" s="1319"/>
      <c r="L35" s="1319"/>
      <c r="M35" s="1319"/>
      <c r="N35" s="1319"/>
      <c r="O35" s="1319"/>
      <c r="P35" s="1319"/>
      <c r="Q35" s="1393">
        <f t="shared" si="2"/>
        <v>0</v>
      </c>
    </row>
    <row r="36" spans="1:20">
      <c r="A36" s="1368" t="s">
        <v>29</v>
      </c>
      <c r="B36" s="1340">
        <f t="shared" ref="B36:Q36" si="3">SUM(B25:B35)</f>
        <v>11770633.402767502</v>
      </c>
      <c r="C36" s="1340">
        <f t="shared" si="3"/>
        <v>41983725</v>
      </c>
      <c r="D36" s="1340">
        <f t="shared" si="3"/>
        <v>6137730.9170917599</v>
      </c>
      <c r="E36" s="1340">
        <f t="shared" si="3"/>
        <v>0</v>
      </c>
      <c r="F36" s="1340">
        <f t="shared" si="3"/>
        <v>3085682</v>
      </c>
      <c r="G36" s="1340">
        <f t="shared" si="3"/>
        <v>6693204.8361025918</v>
      </c>
      <c r="H36" s="1340">
        <f t="shared" si="3"/>
        <v>703121.6</v>
      </c>
      <c r="I36" s="1340">
        <f t="shared" si="3"/>
        <v>1034930.13857</v>
      </c>
      <c r="J36" s="1340">
        <f t="shared" si="3"/>
        <v>5042186.7454000004</v>
      </c>
      <c r="K36" s="1340">
        <f t="shared" si="3"/>
        <v>349030</v>
      </c>
      <c r="L36" s="1340">
        <f t="shared" si="3"/>
        <v>5433226.5999999996</v>
      </c>
      <c r="M36" s="1340">
        <f t="shared" si="3"/>
        <v>4734231.5999999996</v>
      </c>
      <c r="N36" s="1340">
        <f t="shared" si="3"/>
        <v>14829318.173975926</v>
      </c>
      <c r="O36" s="1340">
        <f t="shared" si="3"/>
        <v>8504698</v>
      </c>
      <c r="P36" s="1340">
        <f t="shared" si="3"/>
        <v>0</v>
      </c>
      <c r="Q36" s="1394">
        <f t="shared" si="3"/>
        <v>110301719.01390778</v>
      </c>
    </row>
    <row r="37" spans="1:20">
      <c r="A37" s="1380"/>
      <c r="B37" s="1347"/>
      <c r="C37" s="1347"/>
      <c r="D37" s="1347"/>
      <c r="E37" s="1347"/>
      <c r="F37" s="1347"/>
      <c r="G37" s="1347"/>
      <c r="H37" s="1347"/>
      <c r="I37" s="1347"/>
      <c r="J37" s="1347"/>
      <c r="K37" s="1347"/>
      <c r="L37" s="1347"/>
      <c r="M37" s="1347"/>
      <c r="N37" s="1347"/>
      <c r="O37" s="1347"/>
      <c r="P37" s="1347"/>
      <c r="Q37" s="1393"/>
    </row>
    <row r="38" spans="1:20">
      <c r="A38" s="1368" t="str">
        <f>'[2]A4-FinPerf RE'!A38</f>
        <v>Surplus/(Deficit)</v>
      </c>
      <c r="B38" s="1340">
        <f t="shared" ref="B38:P38" si="4">B22-B36</f>
        <v>-9777633.4027675018</v>
      </c>
      <c r="C38" s="1340">
        <f t="shared" si="4"/>
        <v>2343370.8721256107</v>
      </c>
      <c r="D38" s="1340">
        <f t="shared" si="4"/>
        <v>-3844431.1670917599</v>
      </c>
      <c r="E38" s="1340">
        <f t="shared" si="4"/>
        <v>0</v>
      </c>
      <c r="F38" s="1340">
        <f t="shared" si="4"/>
        <v>-1819758.6336000001</v>
      </c>
      <c r="G38" s="1340">
        <f t="shared" si="4"/>
        <v>-5633204.8361025918</v>
      </c>
      <c r="H38" s="1340">
        <f t="shared" si="4"/>
        <v>-695549.10840000003</v>
      </c>
      <c r="I38" s="1340">
        <f t="shared" si="4"/>
        <v>-66227.078569999896</v>
      </c>
      <c r="J38" s="1340">
        <f t="shared" si="4"/>
        <v>-1211435.4421399999</v>
      </c>
      <c r="K38" s="1340">
        <f t="shared" si="4"/>
        <v>-262143.91999999998</v>
      </c>
      <c r="L38" s="1340">
        <f t="shared" si="4"/>
        <v>4719526.7846100014</v>
      </c>
      <c r="M38" s="1340">
        <f t="shared" si="4"/>
        <v>184151.73000000045</v>
      </c>
      <c r="N38" s="1340">
        <f t="shared" si="4"/>
        <v>4726419.0969207324</v>
      </c>
      <c r="O38" s="1340">
        <f t="shared" si="4"/>
        <v>8250700.8582699988</v>
      </c>
      <c r="P38" s="1340">
        <f t="shared" si="4"/>
        <v>0</v>
      </c>
      <c r="Q38" s="1394">
        <f>Q22-Q36</f>
        <v>-3086214.2467454821</v>
      </c>
    </row>
    <row r="39" spans="1:20">
      <c r="A39" s="1374" t="str">
        <f>'[2]A4-FinPerf RE'!A39</f>
        <v>Transfers recognised - capital</v>
      </c>
      <c r="B39" s="1395"/>
      <c r="C39" s="1395">
        <v>0</v>
      </c>
      <c r="D39" s="1395"/>
      <c r="E39" s="1395"/>
      <c r="F39" s="1395">
        <v>0</v>
      </c>
      <c r="G39" s="1395"/>
      <c r="H39" s="1395"/>
      <c r="I39" s="1395"/>
      <c r="J39" s="1395"/>
      <c r="K39" s="1395"/>
      <c r="L39" s="1395"/>
      <c r="M39" s="1395"/>
      <c r="N39" s="1395"/>
      <c r="O39" s="1395">
        <v>39476050</v>
      </c>
      <c r="P39" s="1395"/>
      <c r="Q39" s="1393">
        <f>SUM(B39:P39)</f>
        <v>39476050</v>
      </c>
    </row>
    <row r="40" spans="1:20">
      <c r="A40" s="1396" t="str">
        <f>'[2]A4-FinPerf RE'!A40</f>
        <v>Contributions recognised - capital</v>
      </c>
      <c r="B40" s="1319"/>
      <c r="C40" s="1319"/>
      <c r="D40" s="1319"/>
      <c r="E40" s="1319"/>
      <c r="F40" s="1319"/>
      <c r="G40" s="1319"/>
      <c r="H40" s="1319"/>
      <c r="I40" s="1319"/>
      <c r="J40" s="1319"/>
      <c r="K40" s="1319"/>
      <c r="L40" s="1319"/>
      <c r="M40" s="1319"/>
      <c r="N40" s="1319"/>
      <c r="O40" s="1319"/>
      <c r="P40" s="1319"/>
      <c r="Q40" s="1393">
        <f>SUM(B40:P40)</f>
        <v>0</v>
      </c>
    </row>
    <row r="41" spans="1:20">
      <c r="A41" s="1374" t="str">
        <f>'[2]A4-FinPerf RE'!A41</f>
        <v>Contributed assets</v>
      </c>
      <c r="B41" s="1395"/>
      <c r="C41" s="1395"/>
      <c r="D41" s="1395"/>
      <c r="E41" s="1395"/>
      <c r="F41" s="1395"/>
      <c r="G41" s="1395"/>
      <c r="H41" s="1395"/>
      <c r="I41" s="1395"/>
      <c r="J41" s="1395"/>
      <c r="K41" s="1395"/>
      <c r="L41" s="1395"/>
      <c r="M41" s="1395"/>
      <c r="N41" s="1395"/>
      <c r="O41" s="1395"/>
      <c r="P41" s="1395"/>
      <c r="Q41" s="1393">
        <f>SUM(B41:P41)</f>
        <v>0</v>
      </c>
    </row>
    <row r="42" spans="1:20" ht="25.5">
      <c r="A42" s="1397" t="str">
        <f>'[2]A4-FinPerf RE'!A42</f>
        <v>Surplus/(Deficit) after capital transfers &amp; contributions</v>
      </c>
      <c r="B42" s="1398">
        <f t="shared" ref="B42:O42" si="5">SUM(B38:B41)</f>
        <v>-9777633.4027675018</v>
      </c>
      <c r="C42" s="1398">
        <f t="shared" si="5"/>
        <v>2343370.8721256107</v>
      </c>
      <c r="D42" s="1398">
        <f t="shared" si="5"/>
        <v>-3844431.1670917599</v>
      </c>
      <c r="E42" s="1398">
        <f t="shared" si="5"/>
        <v>0</v>
      </c>
      <c r="F42" s="1398">
        <f t="shared" si="5"/>
        <v>-1819758.6336000001</v>
      </c>
      <c r="G42" s="1398">
        <f t="shared" si="5"/>
        <v>-5633204.8361025918</v>
      </c>
      <c r="H42" s="1398">
        <f t="shared" si="5"/>
        <v>-695549.10840000003</v>
      </c>
      <c r="I42" s="1398">
        <f t="shared" si="5"/>
        <v>-66227.078569999896</v>
      </c>
      <c r="J42" s="1398">
        <f t="shared" si="5"/>
        <v>-1211435.4421399999</v>
      </c>
      <c r="K42" s="1398">
        <f t="shared" si="5"/>
        <v>-262143.91999999998</v>
      </c>
      <c r="L42" s="1398">
        <f t="shared" si="5"/>
        <v>4719526.7846100014</v>
      </c>
      <c r="M42" s="1398">
        <f t="shared" si="5"/>
        <v>184151.73000000045</v>
      </c>
      <c r="N42" s="1398">
        <f t="shared" si="5"/>
        <v>4726419.0969207324</v>
      </c>
      <c r="O42" s="1398">
        <f t="shared" si="5"/>
        <v>47726750.858269997</v>
      </c>
      <c r="P42" s="1398">
        <f>SUM(P38:P41)</f>
        <v>0</v>
      </c>
      <c r="Q42" s="1399">
        <f>SUM(Q38:Q41)</f>
        <v>36389835.753254518</v>
      </c>
    </row>
    <row r="43" spans="1:20">
      <c r="A43" s="1313"/>
      <c r="B43" s="375"/>
      <c r="C43" s="375"/>
      <c r="D43" s="375"/>
      <c r="E43" s="375"/>
      <c r="F43" s="375"/>
      <c r="G43" s="375"/>
      <c r="H43" s="375"/>
      <c r="I43" s="375"/>
      <c r="J43" s="375"/>
      <c r="K43" s="375"/>
      <c r="L43" s="375"/>
      <c r="M43" s="375"/>
      <c r="N43" s="375"/>
      <c r="O43" s="375"/>
      <c r="P43" s="375"/>
      <c r="Q43" s="375"/>
    </row>
    <row r="44" spans="1:20">
      <c r="T44" s="1400"/>
    </row>
    <row r="45" spans="1:20">
      <c r="F45" s="1366"/>
      <c r="G45" s="1366"/>
      <c r="H45" s="1366"/>
      <c r="I45" s="1366"/>
      <c r="J45" s="1366"/>
      <c r="K45" s="1366"/>
      <c r="L45" s="1366"/>
      <c r="M45" s="1366"/>
      <c r="N45" s="1366"/>
      <c r="O45" s="1366"/>
      <c r="P45" s="1366"/>
      <c r="Q45" s="1366"/>
    </row>
    <row r="46" spans="1:20">
      <c r="F46" s="1366"/>
      <c r="G46" s="1366"/>
      <c r="H46" s="1366"/>
      <c r="I46" s="1366"/>
      <c r="J46" s="1366"/>
      <c r="K46" s="1366"/>
      <c r="L46" s="1366"/>
      <c r="M46" s="1366"/>
      <c r="N46" s="1366"/>
      <c r="O46" s="1366"/>
      <c r="P46" s="1366"/>
      <c r="Q46" s="1366"/>
    </row>
    <row r="47" spans="1:20">
      <c r="F47" s="1366"/>
      <c r="G47" s="1366"/>
      <c r="H47" s="1366"/>
      <c r="I47" s="1366"/>
      <c r="J47" s="1366"/>
      <c r="K47" s="1366"/>
      <c r="L47" s="1366"/>
      <c r="M47" s="1366"/>
      <c r="N47" s="1366"/>
      <c r="O47" s="1366"/>
      <c r="P47" s="1366"/>
      <c r="Q47" s="1366"/>
    </row>
    <row r="48" spans="1:20">
      <c r="T48" s="1365"/>
    </row>
    <row r="49" spans="20:20">
      <c r="T49" s="1365"/>
    </row>
    <row r="50" spans="20:20">
      <c r="T50" s="1365"/>
    </row>
  </sheetData>
  <mergeCells count="16">
    <mergeCell ref="P2:P3"/>
    <mergeCell ref="Q2:Q3"/>
    <mergeCell ref="H2:H3"/>
    <mergeCell ref="I2:I3"/>
    <mergeCell ref="J2:J3"/>
    <mergeCell ref="K2:K3"/>
    <mergeCell ref="L2:L3"/>
    <mergeCell ref="M2:M3"/>
    <mergeCell ref="N2:N3"/>
    <mergeCell ref="O2:O3"/>
    <mergeCell ref="F2:F3"/>
    <mergeCell ref="G2:G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8"/>
  <sheetViews>
    <sheetView workbookViewId="0"/>
  </sheetViews>
  <sheetFormatPr defaultRowHeight="12.75"/>
  <cols>
    <col min="1" max="1" width="30.7109375" style="1104" customWidth="1"/>
    <col min="2" max="2" width="3" style="1233" customWidth="1"/>
    <col min="3" max="11" width="9.28515625" style="1104" customWidth="1"/>
    <col min="12" max="12" width="9.85546875" style="1104" customWidth="1"/>
    <col min="13" max="13" width="9.5703125" style="1104" customWidth="1"/>
    <col min="14" max="14" width="9.85546875" style="1104" customWidth="1"/>
    <col min="15" max="17" width="9.5703125" style="1104" customWidth="1"/>
    <col min="18" max="18" width="9.85546875" style="1104" customWidth="1"/>
    <col min="19" max="21" width="9.5703125" style="1104" customWidth="1"/>
    <col min="22" max="23" width="9.85546875" style="1104" customWidth="1"/>
    <col min="24" max="16384" width="9.140625" style="1104"/>
  </cols>
  <sheetData>
    <row r="1" spans="1:12" ht="13.5">
      <c r="A1" s="1188" t="str">
        <f>muni&amp;" - "&amp; TableA18</f>
        <v>EC106 Sundays River Valley - Supporting Table SA18 Transfers and grant receipts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</row>
    <row r="2" spans="1:12">
      <c r="A2" s="1486" t="str">
        <f>desc</f>
        <v>Description</v>
      </c>
      <c r="B2" s="1191" t="str">
        <f>head27</f>
        <v>Ref</v>
      </c>
      <c r="C2" s="1106" t="str">
        <f>head1b</f>
        <v>2008/9</v>
      </c>
      <c r="D2" s="1487" t="str">
        <f>head1A</f>
        <v>2009/10</v>
      </c>
      <c r="E2" s="1108" t="str">
        <f>Head1</f>
        <v>2010/11</v>
      </c>
      <c r="F2" s="1404" t="str">
        <f>Head2</f>
        <v>Current Year 2011/12</v>
      </c>
      <c r="G2" s="1405"/>
      <c r="H2" s="1408"/>
      <c r="I2" s="1401" t="str">
        <f>Head3</f>
        <v>2012/13 Medium Term Revenue &amp; Expenditure Framework</v>
      </c>
      <c r="J2" s="1402"/>
      <c r="K2" s="1403"/>
    </row>
    <row r="3" spans="1:12" ht="25.5">
      <c r="A3" s="1192" t="s">
        <v>68</v>
      </c>
      <c r="B3" s="1367"/>
      <c r="C3" s="1111" t="str">
        <f>Head5</f>
        <v>Audited Outcome</v>
      </c>
      <c r="D3" s="1488" t="str">
        <f>Head5</f>
        <v>Audited Outcome</v>
      </c>
      <c r="E3" s="1112" t="str">
        <f>Head5</f>
        <v>Audited Outcome</v>
      </c>
      <c r="F3" s="1110" t="str">
        <f>Head6</f>
        <v>Original Budget</v>
      </c>
      <c r="G3" s="1111" t="str">
        <f>Head7</f>
        <v>Adjusted Budget</v>
      </c>
      <c r="H3" s="1112" t="str">
        <f>Head8</f>
        <v>Full Year Forecast</v>
      </c>
      <c r="I3" s="1110" t="str">
        <f>Head9</f>
        <v>Budget Year 2012/13</v>
      </c>
      <c r="J3" s="1111" t="str">
        <f>Head10</f>
        <v>Budget Year +1 2013/14</v>
      </c>
      <c r="K3" s="1112" t="str">
        <f>Head11</f>
        <v>Budget Year +2 2014/15</v>
      </c>
    </row>
    <row r="4" spans="1:12">
      <c r="A4" s="1346" t="s">
        <v>326</v>
      </c>
      <c r="B4" s="1489" t="s">
        <v>327</v>
      </c>
      <c r="C4" s="1490"/>
      <c r="D4" s="1490"/>
      <c r="E4" s="1491"/>
      <c r="F4" s="1492"/>
      <c r="G4" s="1490"/>
      <c r="H4" s="1493"/>
      <c r="I4" s="1494"/>
      <c r="J4" s="1490"/>
      <c r="K4" s="1491"/>
    </row>
    <row r="5" spans="1:12">
      <c r="A5" s="1193"/>
      <c r="B5" s="1194"/>
      <c r="C5" s="1495"/>
      <c r="D5" s="1495"/>
      <c r="E5" s="1496"/>
      <c r="F5" s="1497"/>
      <c r="G5" s="1495"/>
      <c r="H5" s="1498"/>
      <c r="I5" s="1499"/>
      <c r="J5" s="1495"/>
      <c r="K5" s="1496"/>
    </row>
    <row r="6" spans="1:12">
      <c r="A6" s="1193" t="s">
        <v>328</v>
      </c>
      <c r="B6" s="1194"/>
      <c r="C6" s="1495"/>
      <c r="D6" s="1495"/>
      <c r="E6" s="1496"/>
      <c r="F6" s="1497"/>
      <c r="G6" s="1495"/>
      <c r="H6" s="1498"/>
      <c r="I6" s="1499"/>
      <c r="J6" s="1495"/>
      <c r="K6" s="1496"/>
    </row>
    <row r="7" spans="1:12">
      <c r="A7" s="1500" t="s">
        <v>329</v>
      </c>
      <c r="B7" s="1194"/>
      <c r="C7" s="1495">
        <f>SUM(C8:C15)</f>
        <v>18871204</v>
      </c>
      <c r="D7" s="1495">
        <f t="shared" ref="D7:K7" si="0">SUM(D8:D15)</f>
        <v>23697100</v>
      </c>
      <c r="E7" s="1496">
        <f t="shared" si="0"/>
        <v>29149689</v>
      </c>
      <c r="F7" s="1497">
        <f t="shared" si="0"/>
        <v>35370000</v>
      </c>
      <c r="G7" s="1495">
        <f t="shared" si="0"/>
        <v>35370000</v>
      </c>
      <c r="H7" s="1498">
        <f t="shared" si="0"/>
        <v>35370000</v>
      </c>
      <c r="I7" s="1499">
        <f t="shared" si="0"/>
        <v>40796950</v>
      </c>
      <c r="J7" s="1495">
        <f t="shared" si="0"/>
        <v>42905852</v>
      </c>
      <c r="K7" s="1496">
        <f t="shared" si="0"/>
        <v>46482000</v>
      </c>
    </row>
    <row r="8" spans="1:12">
      <c r="A8" s="1205" t="s">
        <v>330</v>
      </c>
      <c r="B8" s="1194" t="str">
        <f t="shared" ref="B8:B13" si="1">IF(A8="  Levy replacement",3,"")</f>
        <v/>
      </c>
      <c r="C8" s="1501">
        <v>15636204</v>
      </c>
      <c r="D8" s="1502">
        <v>20232000</v>
      </c>
      <c r="E8" s="1502">
        <v>25709689</v>
      </c>
      <c r="F8" s="1503">
        <v>30979000</v>
      </c>
      <c r="G8" s="1501">
        <v>30979000</v>
      </c>
      <c r="H8" s="1501">
        <v>30979000</v>
      </c>
      <c r="I8" s="1504">
        <v>34321000</v>
      </c>
      <c r="J8" s="1504">
        <v>36758000</v>
      </c>
      <c r="K8" s="1504">
        <v>39485000</v>
      </c>
    </row>
    <row r="9" spans="1:12">
      <c r="A9" s="1505" t="s">
        <v>331</v>
      </c>
      <c r="B9" s="1194" t="str">
        <f t="shared" si="1"/>
        <v/>
      </c>
      <c r="C9" s="1506">
        <v>2500000</v>
      </c>
      <c r="D9" s="1507">
        <v>1500000</v>
      </c>
      <c r="E9" s="1507">
        <v>1500000</v>
      </c>
      <c r="F9" s="1508">
        <v>1500000</v>
      </c>
      <c r="G9" s="1506">
        <v>1500000</v>
      </c>
      <c r="H9" s="1506">
        <v>1500000</v>
      </c>
      <c r="I9" s="1509">
        <v>1500000</v>
      </c>
      <c r="J9" s="1509">
        <v>1500000</v>
      </c>
      <c r="K9" s="1509">
        <v>1750000</v>
      </c>
    </row>
    <row r="10" spans="1:12">
      <c r="A10" s="1505" t="s">
        <v>332</v>
      </c>
      <c r="B10" s="1194" t="str">
        <f t="shared" si="1"/>
        <v/>
      </c>
      <c r="C10" s="1506">
        <v>735000</v>
      </c>
      <c r="D10" s="1507">
        <v>1300000</v>
      </c>
      <c r="E10" s="1507">
        <v>1200000</v>
      </c>
      <c r="F10" s="1508">
        <v>790000</v>
      </c>
      <c r="G10" s="1506">
        <v>790000</v>
      </c>
      <c r="H10" s="1506">
        <v>790000</v>
      </c>
      <c r="I10" s="1509">
        <v>800000</v>
      </c>
      <c r="J10" s="1509">
        <v>870000</v>
      </c>
      <c r="K10" s="1509">
        <v>950000</v>
      </c>
    </row>
    <row r="11" spans="1:12">
      <c r="A11" s="1505" t="s">
        <v>333</v>
      </c>
      <c r="B11" s="1194" t="str">
        <f t="shared" si="1"/>
        <v/>
      </c>
      <c r="C11" s="1506"/>
      <c r="D11" s="1507"/>
      <c r="E11" s="1507"/>
      <c r="F11" s="1508"/>
      <c r="G11" s="1506"/>
      <c r="H11" s="1510"/>
      <c r="I11" s="1509"/>
      <c r="J11" s="1509"/>
      <c r="K11" s="1509"/>
    </row>
    <row r="12" spans="1:12">
      <c r="A12" s="1505" t="s">
        <v>334</v>
      </c>
      <c r="B12" s="1194" t="str">
        <f t="shared" si="1"/>
        <v/>
      </c>
      <c r="C12" s="1506"/>
      <c r="D12" s="1507"/>
      <c r="E12" s="1507"/>
      <c r="F12" s="1508"/>
      <c r="G12" s="1506"/>
      <c r="H12" s="1510"/>
      <c r="I12" s="1509">
        <v>1000000</v>
      </c>
      <c r="J12" s="1509">
        <v>0</v>
      </c>
      <c r="K12" s="1509">
        <v>0</v>
      </c>
    </row>
    <row r="13" spans="1:12">
      <c r="A13" s="1505"/>
      <c r="B13" s="1194" t="str">
        <f t="shared" si="1"/>
        <v/>
      </c>
      <c r="C13" s="1506"/>
      <c r="D13" s="1507"/>
      <c r="E13" s="1507"/>
      <c r="F13" s="1508"/>
      <c r="G13" s="1506"/>
      <c r="H13" s="1510"/>
      <c r="I13" s="1509"/>
      <c r="J13" s="1509"/>
      <c r="K13" s="1509"/>
    </row>
    <row r="14" spans="1:12">
      <c r="A14" s="1505" t="s">
        <v>335</v>
      </c>
      <c r="B14" s="1194"/>
      <c r="C14" s="1506"/>
      <c r="D14" s="1507">
        <v>665100</v>
      </c>
      <c r="E14" s="1507">
        <v>740000</v>
      </c>
      <c r="F14" s="1508">
        <v>975000</v>
      </c>
      <c r="G14" s="1506">
        <v>975000</v>
      </c>
      <c r="H14" s="1510">
        <v>975000</v>
      </c>
      <c r="I14" s="1509">
        <v>1182950</v>
      </c>
      <c r="J14" s="1509">
        <v>1247852</v>
      </c>
      <c r="K14" s="1509">
        <v>1320000</v>
      </c>
    </row>
    <row r="15" spans="1:12">
      <c r="A15" s="1505" t="s">
        <v>336</v>
      </c>
      <c r="B15" s="1194"/>
      <c r="C15" s="1511"/>
      <c r="D15" s="1512"/>
      <c r="E15" s="1512"/>
      <c r="F15" s="1513">
        <v>1126000</v>
      </c>
      <c r="G15" s="1511">
        <v>1126000</v>
      </c>
      <c r="H15" s="1511">
        <v>1126000</v>
      </c>
      <c r="I15" s="1514">
        <v>1993000</v>
      </c>
      <c r="J15" s="1514">
        <v>2530000</v>
      </c>
      <c r="K15" s="1514">
        <v>2977000</v>
      </c>
    </row>
    <row r="16" spans="1:12">
      <c r="A16" s="1500" t="s">
        <v>337</v>
      </c>
      <c r="B16" s="1194"/>
      <c r="C16" s="1495">
        <f>SUM(C17:C22)</f>
        <v>2023761</v>
      </c>
      <c r="D16" s="1495">
        <f t="shared" ref="D16:K16" si="2">SUM(D17:D22)</f>
        <v>2365956.21</v>
      </c>
      <c r="E16" s="1496">
        <f t="shared" si="2"/>
        <v>1589269</v>
      </c>
      <c r="F16" s="1497">
        <f t="shared" si="2"/>
        <v>0</v>
      </c>
      <c r="G16" s="1495">
        <f t="shared" si="2"/>
        <v>0</v>
      </c>
      <c r="H16" s="1498">
        <f t="shared" si="2"/>
        <v>0</v>
      </c>
      <c r="I16" s="1499">
        <f t="shared" si="2"/>
        <v>1244990</v>
      </c>
      <c r="J16" s="1495">
        <f t="shared" si="2"/>
        <v>1244990</v>
      </c>
      <c r="K16" s="1496">
        <f t="shared" si="2"/>
        <v>1250269</v>
      </c>
      <c r="L16" s="1126"/>
    </row>
    <row r="17" spans="1:12">
      <c r="A17" s="1505" t="s">
        <v>338</v>
      </c>
      <c r="B17" s="1194" t="str">
        <f>IF(A17="  Housing",4,"")</f>
        <v/>
      </c>
      <c r="C17" s="1501">
        <v>2023761</v>
      </c>
      <c r="D17" s="1502">
        <v>2365956.21</v>
      </c>
      <c r="E17" s="1502">
        <v>1090842</v>
      </c>
      <c r="F17" s="1503"/>
      <c r="G17" s="1501"/>
      <c r="H17" s="1515"/>
      <c r="I17" s="1504"/>
      <c r="J17" s="1501"/>
      <c r="K17" s="1502"/>
      <c r="L17" s="1126"/>
    </row>
    <row r="18" spans="1:12">
      <c r="A18" s="1505" t="s">
        <v>339</v>
      </c>
      <c r="B18" s="1194" t="str">
        <f>IF(A18="  Housing",4,"")</f>
        <v/>
      </c>
      <c r="C18" s="1506"/>
      <c r="D18" s="1506">
        <v>0</v>
      </c>
      <c r="E18" s="1507">
        <v>445427</v>
      </c>
      <c r="F18" s="1508"/>
      <c r="G18" s="1506"/>
      <c r="H18" s="1510"/>
      <c r="I18" s="1509"/>
      <c r="J18" s="1506"/>
      <c r="K18" s="1507"/>
      <c r="L18" s="1126"/>
    </row>
    <row r="19" spans="1:12">
      <c r="A19" s="1505"/>
      <c r="B19" s="1194" t="str">
        <f>IF(A19="  Housing",4,"")</f>
        <v/>
      </c>
      <c r="C19" s="1506"/>
      <c r="D19" s="1506"/>
      <c r="E19" s="1507"/>
      <c r="F19" s="1508"/>
      <c r="G19" s="1506"/>
      <c r="H19" s="1510"/>
      <c r="I19" s="1509"/>
      <c r="J19" s="1506"/>
      <c r="K19" s="1507"/>
      <c r="L19" s="1126"/>
    </row>
    <row r="20" spans="1:12">
      <c r="A20" s="1505"/>
      <c r="B20" s="1194" t="str">
        <f>IF(A20="  Housing",4,"")</f>
        <v/>
      </c>
      <c r="C20" s="1506"/>
      <c r="D20" s="1506"/>
      <c r="E20" s="1507"/>
      <c r="F20" s="1508"/>
      <c r="G20" s="1506"/>
      <c r="H20" s="1510"/>
      <c r="I20" s="1509"/>
      <c r="J20" s="1506"/>
      <c r="K20" s="1507"/>
      <c r="L20" s="1126"/>
    </row>
    <row r="21" spans="1:12">
      <c r="A21" s="1505" t="s">
        <v>340</v>
      </c>
      <c r="B21" s="1194"/>
      <c r="C21" s="1506"/>
      <c r="D21" s="1506"/>
      <c r="E21" s="1507">
        <v>53000</v>
      </c>
      <c r="F21" s="1508"/>
      <c r="G21" s="1506"/>
      <c r="H21" s="1510"/>
      <c r="I21" s="1509">
        <v>87990</v>
      </c>
      <c r="J21" s="1516">
        <v>87990</v>
      </c>
      <c r="K21" s="1510">
        <v>93269</v>
      </c>
      <c r="L21" s="1126"/>
    </row>
    <row r="22" spans="1:12">
      <c r="A22" s="1505" t="s">
        <v>341</v>
      </c>
      <c r="B22" s="1194"/>
      <c r="C22" s="1511"/>
      <c r="D22" s="1511"/>
      <c r="E22" s="1512">
        <v>0</v>
      </c>
      <c r="F22" s="1513"/>
      <c r="G22" s="1511"/>
      <c r="H22" s="1517"/>
      <c r="I22" s="1514">
        <v>1157000</v>
      </c>
      <c r="J22" s="1514">
        <v>1157000</v>
      </c>
      <c r="K22" s="1514">
        <v>1157000</v>
      </c>
      <c r="L22" s="1126"/>
    </row>
    <row r="23" spans="1:12">
      <c r="A23" s="1500" t="s">
        <v>342</v>
      </c>
      <c r="B23" s="1194"/>
      <c r="C23" s="1495">
        <f>SUM(C24:C25)</f>
        <v>535884</v>
      </c>
      <c r="D23" s="1495">
        <f t="shared" ref="D23:K23" si="3">SUM(D24:D25)</f>
        <v>738653.9</v>
      </c>
      <c r="E23" s="1496">
        <f t="shared" si="3"/>
        <v>1018805</v>
      </c>
      <c r="F23" s="1497">
        <f t="shared" si="3"/>
        <v>913151</v>
      </c>
      <c r="G23" s="1495">
        <f t="shared" si="3"/>
        <v>1288151</v>
      </c>
      <c r="H23" s="1498">
        <f t="shared" si="3"/>
        <v>1288151</v>
      </c>
      <c r="I23" s="1499">
        <f t="shared" si="3"/>
        <v>967940.06</v>
      </c>
      <c r="J23" s="1495">
        <f t="shared" si="3"/>
        <v>1019240.88318</v>
      </c>
      <c r="K23" s="1496">
        <f t="shared" si="3"/>
        <v>1069183.68645582</v>
      </c>
      <c r="L23" s="1126"/>
    </row>
    <row r="24" spans="1:12">
      <c r="A24" s="1518" t="s">
        <v>343</v>
      </c>
      <c r="B24" s="1194"/>
      <c r="C24" s="1501">
        <v>535884</v>
      </c>
      <c r="D24" s="1502">
        <v>738653.9</v>
      </c>
      <c r="E24" s="1502">
        <v>1018805</v>
      </c>
      <c r="F24" s="1503">
        <v>913151</v>
      </c>
      <c r="G24" s="1501">
        <v>913151</v>
      </c>
      <c r="H24" s="1515">
        <v>913151</v>
      </c>
      <c r="I24" s="1504">
        <v>967940.06</v>
      </c>
      <c r="J24" s="1504">
        <v>1019240.88318</v>
      </c>
      <c r="K24" s="1504">
        <v>1069183.68645582</v>
      </c>
      <c r="L24" s="1126"/>
    </row>
    <row r="25" spans="1:12">
      <c r="A25" s="1518" t="s">
        <v>344</v>
      </c>
      <c r="B25" s="1194"/>
      <c r="C25" s="1511"/>
      <c r="D25" s="1511"/>
      <c r="E25" s="1512"/>
      <c r="F25" s="1513"/>
      <c r="G25" s="1511">
        <v>375000</v>
      </c>
      <c r="H25" s="1517">
        <v>375000</v>
      </c>
      <c r="I25" s="1514"/>
      <c r="J25" s="1511"/>
      <c r="K25" s="1512"/>
      <c r="L25" s="1126"/>
    </row>
    <row r="26" spans="1:12">
      <c r="A26" s="1500" t="s">
        <v>345</v>
      </c>
      <c r="B26" s="1194"/>
      <c r="C26" s="1495">
        <f>SUM(C27:C28)</f>
        <v>0</v>
      </c>
      <c r="D26" s="1495">
        <f t="shared" ref="D26:K26" si="4">SUM(D27:D28)</f>
        <v>0</v>
      </c>
      <c r="E26" s="1496">
        <f t="shared" si="4"/>
        <v>0</v>
      </c>
      <c r="F26" s="1497">
        <f t="shared" si="4"/>
        <v>0</v>
      </c>
      <c r="G26" s="1495">
        <f t="shared" si="4"/>
        <v>0</v>
      </c>
      <c r="H26" s="1498">
        <f t="shared" si="4"/>
        <v>0</v>
      </c>
      <c r="I26" s="1499">
        <f t="shared" si="4"/>
        <v>0</v>
      </c>
      <c r="J26" s="1495">
        <f t="shared" si="4"/>
        <v>0</v>
      </c>
      <c r="K26" s="1496">
        <f t="shared" si="4"/>
        <v>0</v>
      </c>
      <c r="L26" s="1126"/>
    </row>
    <row r="27" spans="1:12">
      <c r="A27" s="1518"/>
      <c r="B27" s="1194"/>
      <c r="C27" s="1501"/>
      <c r="D27" s="1501"/>
      <c r="E27" s="1502"/>
      <c r="F27" s="1503"/>
      <c r="G27" s="1501"/>
      <c r="H27" s="1515"/>
      <c r="I27" s="1504"/>
      <c r="J27" s="1504"/>
      <c r="K27" s="1504"/>
      <c r="L27" s="1126"/>
    </row>
    <row r="28" spans="1:12">
      <c r="A28" s="1518"/>
      <c r="B28" s="1194"/>
      <c r="C28" s="1511"/>
      <c r="D28" s="1511"/>
      <c r="E28" s="1512"/>
      <c r="F28" s="1513"/>
      <c r="G28" s="1511"/>
      <c r="H28" s="1517"/>
      <c r="I28" s="1514"/>
      <c r="J28" s="1511"/>
      <c r="K28" s="1512"/>
      <c r="L28" s="1126"/>
    </row>
    <row r="29" spans="1:12" s="1527" customFormat="1">
      <c r="A29" s="1519" t="s">
        <v>346</v>
      </c>
      <c r="B29" s="1520">
        <v>5</v>
      </c>
      <c r="C29" s="1521">
        <f>C7+C16+C23+C26</f>
        <v>21430849</v>
      </c>
      <c r="D29" s="1521">
        <f t="shared" ref="D29:K29" si="5">D7+D16+D23+D26</f>
        <v>26801710.109999999</v>
      </c>
      <c r="E29" s="1522">
        <f t="shared" si="5"/>
        <v>31757763</v>
      </c>
      <c r="F29" s="1523">
        <f t="shared" si="5"/>
        <v>36283151</v>
      </c>
      <c r="G29" s="1521">
        <f t="shared" si="5"/>
        <v>36658151</v>
      </c>
      <c r="H29" s="1524">
        <f t="shared" si="5"/>
        <v>36658151</v>
      </c>
      <c r="I29" s="1525">
        <f t="shared" si="5"/>
        <v>43009880.060000002</v>
      </c>
      <c r="J29" s="1521">
        <f t="shared" si="5"/>
        <v>45170082.88318</v>
      </c>
      <c r="K29" s="1522">
        <f t="shared" si="5"/>
        <v>48801452.686455823</v>
      </c>
      <c r="L29" s="1526"/>
    </row>
    <row r="30" spans="1:12">
      <c r="A30" s="1338"/>
      <c r="B30" s="1194"/>
      <c r="C30" s="1528"/>
      <c r="D30" s="1528"/>
      <c r="E30" s="1529"/>
      <c r="F30" s="1530"/>
      <c r="G30" s="1528"/>
      <c r="H30" s="1531"/>
      <c r="I30" s="1532"/>
      <c r="J30" s="1528"/>
      <c r="K30" s="1529"/>
      <c r="L30" s="1126"/>
    </row>
    <row r="31" spans="1:12">
      <c r="A31" s="1193" t="s">
        <v>347</v>
      </c>
      <c r="B31" s="1194"/>
      <c r="C31" s="1528"/>
      <c r="D31" s="1528"/>
      <c r="E31" s="1529"/>
      <c r="F31" s="1530"/>
      <c r="G31" s="1528"/>
      <c r="H31" s="1531"/>
      <c r="I31" s="1532"/>
      <c r="J31" s="1528"/>
      <c r="K31" s="1529"/>
      <c r="L31" s="1126"/>
    </row>
    <row r="32" spans="1:12">
      <c r="A32" s="1500" t="str">
        <f>A7</f>
        <v>National Government:</v>
      </c>
      <c r="B32" s="1194"/>
      <c r="C32" s="1495">
        <f>SUM(C33:C38)</f>
        <v>9233300</v>
      </c>
      <c r="D32" s="1495">
        <f t="shared" ref="D32:K32" si="6">SUM(D33:D38)</f>
        <v>12636900</v>
      </c>
      <c r="E32" s="1496">
        <f t="shared" si="6"/>
        <v>10448000</v>
      </c>
      <c r="F32" s="1497">
        <f t="shared" si="6"/>
        <v>18528800</v>
      </c>
      <c r="G32" s="1495">
        <f t="shared" si="6"/>
        <v>34528800</v>
      </c>
      <c r="H32" s="1498">
        <f t="shared" si="6"/>
        <v>34528800</v>
      </c>
      <c r="I32" s="1499">
        <f t="shared" si="6"/>
        <v>39476050</v>
      </c>
      <c r="J32" s="1495">
        <f t="shared" si="6"/>
        <v>30175148</v>
      </c>
      <c r="K32" s="1496">
        <f t="shared" si="6"/>
        <v>25080000</v>
      </c>
      <c r="L32" s="1126"/>
    </row>
    <row r="33" spans="1:15">
      <c r="A33" s="1505" t="s">
        <v>348</v>
      </c>
      <c r="B33" s="1194"/>
      <c r="C33" s="1501">
        <v>9233300</v>
      </c>
      <c r="D33" s="1502">
        <v>12636900</v>
      </c>
      <c r="E33" s="1502">
        <v>10448000</v>
      </c>
      <c r="F33" s="1503">
        <v>18528800</v>
      </c>
      <c r="G33" s="1501">
        <v>18528800</v>
      </c>
      <c r="H33" s="1515">
        <v>18528800</v>
      </c>
      <c r="I33" s="1504">
        <f>23659000-I14</f>
        <v>22476050</v>
      </c>
      <c r="J33" s="1504">
        <f>24957000-J14</f>
        <v>23709148</v>
      </c>
      <c r="K33" s="1504">
        <f>26400000-K14</f>
        <v>25080000</v>
      </c>
      <c r="L33" s="1126"/>
    </row>
    <row r="34" spans="1:15">
      <c r="A34" s="1505" t="s">
        <v>349</v>
      </c>
      <c r="B34" s="1194"/>
      <c r="C34" s="1506"/>
      <c r="D34" s="1506"/>
      <c r="E34" s="1507"/>
      <c r="F34" s="1508">
        <v>0</v>
      </c>
      <c r="G34" s="1506">
        <v>16000000</v>
      </c>
      <c r="H34" s="1510">
        <v>16000000</v>
      </c>
      <c r="I34" s="1509">
        <v>17000000</v>
      </c>
      <c r="J34" s="1509">
        <v>6466000</v>
      </c>
      <c r="K34" s="1509">
        <v>0</v>
      </c>
      <c r="L34" s="1126"/>
    </row>
    <row r="35" spans="1:15">
      <c r="A35" s="1505"/>
      <c r="B35" s="1194"/>
      <c r="C35" s="1506"/>
      <c r="D35" s="1506"/>
      <c r="E35" s="1507"/>
      <c r="F35" s="1508"/>
      <c r="G35" s="1506"/>
      <c r="H35" s="1510"/>
      <c r="I35" s="1509"/>
      <c r="J35" s="1506"/>
      <c r="K35" s="1507"/>
      <c r="L35" s="1126"/>
    </row>
    <row r="36" spans="1:15">
      <c r="A36" s="1505"/>
      <c r="B36" s="1194"/>
      <c r="C36" s="1506"/>
      <c r="D36" s="1506"/>
      <c r="E36" s="1507"/>
      <c r="F36" s="1508"/>
      <c r="G36" s="1506"/>
      <c r="H36" s="1510"/>
      <c r="I36" s="1509"/>
      <c r="J36" s="1506"/>
      <c r="K36" s="1507"/>
      <c r="L36" s="1126"/>
    </row>
    <row r="37" spans="1:15">
      <c r="A37" s="1505"/>
      <c r="B37" s="1194"/>
      <c r="C37" s="1506"/>
      <c r="D37" s="1506"/>
      <c r="E37" s="1507"/>
      <c r="F37" s="1508"/>
      <c r="G37" s="1506"/>
      <c r="H37" s="1510"/>
      <c r="I37" s="1509"/>
      <c r="J37" s="1506"/>
      <c r="K37" s="1507"/>
      <c r="L37" s="1126"/>
    </row>
    <row r="38" spans="1:15">
      <c r="A38" s="1505" t="s">
        <v>350</v>
      </c>
      <c r="B38" s="1194"/>
      <c r="C38" s="1511"/>
      <c r="D38" s="1511"/>
      <c r="E38" s="1512"/>
      <c r="F38" s="1513"/>
      <c r="G38" s="1511"/>
      <c r="H38" s="1517"/>
      <c r="I38" s="1514"/>
      <c r="J38" s="1511"/>
      <c r="K38" s="1512"/>
      <c r="L38" s="1126"/>
    </row>
    <row r="39" spans="1:15">
      <c r="A39" s="1533" t="str">
        <f>A16</f>
        <v>Provincial Government:</v>
      </c>
      <c r="B39" s="1194"/>
      <c r="C39" s="1495">
        <f>SUM(C40)</f>
        <v>18000000</v>
      </c>
      <c r="D39" s="1495">
        <f t="shared" ref="D39:K39" si="7">SUM(D40)</f>
        <v>0</v>
      </c>
      <c r="E39" s="1496">
        <f t="shared" si="7"/>
        <v>0</v>
      </c>
      <c r="F39" s="1497">
        <f t="shared" si="7"/>
        <v>0</v>
      </c>
      <c r="G39" s="1495">
        <f t="shared" si="7"/>
        <v>0</v>
      </c>
      <c r="H39" s="1498">
        <f t="shared" si="7"/>
        <v>0</v>
      </c>
      <c r="I39" s="1499">
        <f t="shared" si="7"/>
        <v>0</v>
      </c>
      <c r="J39" s="1495">
        <f t="shared" si="7"/>
        <v>0</v>
      </c>
      <c r="K39" s="1496">
        <f t="shared" si="7"/>
        <v>0</v>
      </c>
      <c r="L39" s="1126"/>
      <c r="O39" s="1126"/>
    </row>
    <row r="40" spans="1:15">
      <c r="A40" s="1534" t="s">
        <v>351</v>
      </c>
      <c r="B40" s="1194"/>
      <c r="C40" s="1535">
        <v>18000000</v>
      </c>
      <c r="D40" s="1535"/>
      <c r="E40" s="1536"/>
      <c r="F40" s="1537"/>
      <c r="G40" s="1535"/>
      <c r="H40" s="1538"/>
      <c r="I40" s="1539"/>
      <c r="J40" s="1535"/>
      <c r="K40" s="1536"/>
      <c r="L40" s="1126"/>
    </row>
    <row r="41" spans="1:15">
      <c r="A41" s="1500" t="str">
        <f>A23</f>
        <v>District Municipality:</v>
      </c>
      <c r="B41" s="1194"/>
      <c r="C41" s="1495">
        <f t="shared" ref="C41:K41" si="8">SUM(C42:C43)</f>
        <v>0</v>
      </c>
      <c r="D41" s="1495">
        <f t="shared" si="8"/>
        <v>0</v>
      </c>
      <c r="E41" s="1496">
        <f t="shared" si="8"/>
        <v>0</v>
      </c>
      <c r="F41" s="1497">
        <f t="shared" si="8"/>
        <v>0</v>
      </c>
      <c r="G41" s="1495">
        <f t="shared" si="8"/>
        <v>0</v>
      </c>
      <c r="H41" s="1498">
        <f t="shared" si="8"/>
        <v>0</v>
      </c>
      <c r="I41" s="1499">
        <f t="shared" si="8"/>
        <v>0</v>
      </c>
      <c r="J41" s="1495">
        <f t="shared" si="8"/>
        <v>0</v>
      </c>
      <c r="K41" s="1496">
        <f t="shared" si="8"/>
        <v>0</v>
      </c>
      <c r="L41" s="1126"/>
    </row>
    <row r="42" spans="1:15">
      <c r="A42" s="1518" t="str">
        <f>A24</f>
        <v>Environmental health</v>
      </c>
      <c r="B42" s="1194"/>
      <c r="C42" s="1501"/>
      <c r="D42" s="1501"/>
      <c r="E42" s="1502"/>
      <c r="F42" s="1503"/>
      <c r="G42" s="1501"/>
      <c r="H42" s="1515"/>
      <c r="I42" s="1504"/>
      <c r="J42" s="1501"/>
      <c r="K42" s="1502"/>
      <c r="L42" s="1126"/>
    </row>
    <row r="43" spans="1:15">
      <c r="A43" s="1518" t="s">
        <v>344</v>
      </c>
      <c r="B43" s="1194"/>
      <c r="C43" s="1511"/>
      <c r="D43" s="1511"/>
      <c r="E43" s="1512"/>
      <c r="F43" s="1513"/>
      <c r="G43" s="1511">
        <v>0</v>
      </c>
      <c r="H43" s="1517">
        <v>0</v>
      </c>
      <c r="I43" s="1514"/>
      <c r="J43" s="1511"/>
      <c r="K43" s="1512"/>
      <c r="L43" s="1126"/>
    </row>
    <row r="44" spans="1:15">
      <c r="A44" s="1500" t="str">
        <f>A26</f>
        <v>Other grant providers:</v>
      </c>
      <c r="B44" s="1194"/>
      <c r="C44" s="1495">
        <f>SUM(C45:C46)</f>
        <v>0</v>
      </c>
      <c r="D44" s="1495">
        <f t="shared" ref="D44:K44" si="9">SUM(D45:D46)</f>
        <v>0</v>
      </c>
      <c r="E44" s="1496">
        <f t="shared" si="9"/>
        <v>0</v>
      </c>
      <c r="F44" s="1497">
        <f t="shared" si="9"/>
        <v>0</v>
      </c>
      <c r="G44" s="1495">
        <f t="shared" si="9"/>
        <v>0</v>
      </c>
      <c r="H44" s="1498">
        <f t="shared" si="9"/>
        <v>0</v>
      </c>
      <c r="I44" s="1499">
        <f t="shared" si="9"/>
        <v>0</v>
      </c>
      <c r="J44" s="1495">
        <f t="shared" si="9"/>
        <v>0</v>
      </c>
      <c r="K44" s="1496">
        <f t="shared" si="9"/>
        <v>0</v>
      </c>
      <c r="L44" s="1126"/>
    </row>
    <row r="45" spans="1:15">
      <c r="A45" s="1518" t="s">
        <v>340</v>
      </c>
      <c r="B45" s="1194"/>
      <c r="C45" s="1501"/>
      <c r="D45" s="1501"/>
      <c r="E45" s="1502"/>
      <c r="F45" s="1503"/>
      <c r="G45" s="1501"/>
      <c r="H45" s="1515"/>
      <c r="I45" s="1504"/>
      <c r="J45" s="1504"/>
      <c r="K45" s="1504"/>
      <c r="L45" s="1126"/>
    </row>
    <row r="46" spans="1:15">
      <c r="A46" s="1518"/>
      <c r="B46" s="1194"/>
      <c r="C46" s="1511"/>
      <c r="D46" s="1511"/>
      <c r="E46" s="1512"/>
      <c r="F46" s="1513"/>
      <c r="G46" s="1511"/>
      <c r="H46" s="1517"/>
      <c r="I46" s="1514"/>
      <c r="J46" s="1511"/>
      <c r="K46" s="1512"/>
      <c r="L46" s="1126"/>
    </row>
    <row r="47" spans="1:15">
      <c r="A47" s="1540" t="s">
        <v>352</v>
      </c>
      <c r="B47" s="1541">
        <v>5</v>
      </c>
      <c r="C47" s="1495">
        <f t="shared" ref="C47:K47" si="10">C32+C39+C41+C44</f>
        <v>27233300</v>
      </c>
      <c r="D47" s="1495">
        <f t="shared" si="10"/>
        <v>12636900</v>
      </c>
      <c r="E47" s="1496">
        <f t="shared" si="10"/>
        <v>10448000</v>
      </c>
      <c r="F47" s="1497">
        <f t="shared" si="10"/>
        <v>18528800</v>
      </c>
      <c r="G47" s="1495">
        <f t="shared" si="10"/>
        <v>34528800</v>
      </c>
      <c r="H47" s="1498">
        <f t="shared" si="10"/>
        <v>34528800</v>
      </c>
      <c r="I47" s="1499">
        <f t="shared" si="10"/>
        <v>39476050</v>
      </c>
      <c r="J47" s="1495">
        <f t="shared" si="10"/>
        <v>30175148</v>
      </c>
      <c r="K47" s="1496">
        <f t="shared" si="10"/>
        <v>25080000</v>
      </c>
      <c r="L47" s="1126"/>
    </row>
    <row r="48" spans="1:15" s="1527" customFormat="1">
      <c r="A48" s="1542" t="s">
        <v>353</v>
      </c>
      <c r="B48" s="1543"/>
      <c r="C48" s="1544">
        <f t="shared" ref="C48:K48" si="11">C29+C47</f>
        <v>48664149</v>
      </c>
      <c r="D48" s="1544">
        <f t="shared" si="11"/>
        <v>39438610.109999999</v>
      </c>
      <c r="E48" s="1545">
        <f t="shared" si="11"/>
        <v>42205763</v>
      </c>
      <c r="F48" s="1546">
        <f t="shared" si="11"/>
        <v>54811951</v>
      </c>
      <c r="G48" s="1544">
        <f t="shared" si="11"/>
        <v>71186951</v>
      </c>
      <c r="H48" s="1547">
        <f t="shared" si="11"/>
        <v>71186951</v>
      </c>
      <c r="I48" s="1548">
        <f t="shared" si="11"/>
        <v>82485930.060000002</v>
      </c>
      <c r="J48" s="1544">
        <f t="shared" si="11"/>
        <v>75345230.883179992</v>
      </c>
      <c r="K48" s="1545">
        <f t="shared" si="11"/>
        <v>73881452.686455816</v>
      </c>
      <c r="L48" s="1526"/>
    </row>
  </sheetData>
  <mergeCells count="2">
    <mergeCell ref="F2:H2"/>
    <mergeCell ref="I2:K2"/>
  </mergeCells>
  <dataValidations count="4">
    <dataValidation showInputMessage="1" showErrorMessage="1" prompt="Select transfer/grant description" sqref="A8"/>
    <dataValidation type="list" showInputMessage="1" showErrorMessage="1" prompt="Select transfer/grant description" sqref="A33:A37">
      <formula1>GrantNatCapex</formula1>
    </dataValidation>
    <dataValidation type="list" showInputMessage="1" showErrorMessage="1" prompt="Select transfer/grant description" sqref="A17:A20">
      <formula1>GrantProvOpex</formula1>
    </dataValidation>
    <dataValidation type="list" showInputMessage="1" showErrorMessage="1" prompt="Select transfer/grant description" sqref="A9:A13">
      <formula1>GrantNatOpex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54"/>
  <sheetViews>
    <sheetView workbookViewId="0">
      <selection sqref="A1:XFD1048576"/>
    </sheetView>
  </sheetViews>
  <sheetFormatPr defaultRowHeight="12.75"/>
  <cols>
    <col min="1" max="1" width="30.7109375" style="1104" customWidth="1"/>
    <col min="2" max="2" width="3" style="1233" customWidth="1"/>
    <col min="3" max="11" width="9.28515625" style="1104" customWidth="1"/>
    <col min="12" max="12" width="9.85546875" style="1104" customWidth="1"/>
    <col min="13" max="13" width="9.5703125" style="1104" customWidth="1"/>
    <col min="14" max="14" width="9.85546875" style="1104" customWidth="1"/>
    <col min="15" max="17" width="9.5703125" style="1104" customWidth="1"/>
    <col min="18" max="18" width="9.85546875" style="1104" customWidth="1"/>
    <col min="19" max="21" width="9.5703125" style="1104" customWidth="1"/>
    <col min="22" max="23" width="9.85546875" style="1104" customWidth="1"/>
    <col min="24" max="16384" width="9.140625" style="1104"/>
  </cols>
  <sheetData>
    <row r="1" spans="1:11" ht="13.5">
      <c r="A1" s="1188" t="str">
        <f>muni&amp;" - "&amp; TableA19</f>
        <v>EC106 Sundays River Valley - Supporting Table SA19 Expenditure on transfers and grant programme</v>
      </c>
      <c r="B1" s="1188"/>
      <c r="C1" s="1188"/>
      <c r="D1" s="1188"/>
      <c r="E1" s="1188"/>
      <c r="F1" s="1188"/>
      <c r="G1" s="1188"/>
      <c r="H1" s="1188"/>
      <c r="I1" s="1188"/>
      <c r="J1" s="1188"/>
      <c r="K1" s="1188"/>
    </row>
    <row r="2" spans="1:11">
      <c r="A2" s="1486" t="str">
        <f>desc</f>
        <v>Description</v>
      </c>
      <c r="B2" s="1191" t="str">
        <f>head27</f>
        <v>Ref</v>
      </c>
      <c r="C2" s="1106" t="str">
        <f>head1b</f>
        <v>2008/9</v>
      </c>
      <c r="D2" s="1487" t="str">
        <f>head1A</f>
        <v>2009/10</v>
      </c>
      <c r="E2" s="1108" t="str">
        <f>Head1</f>
        <v>2010/11</v>
      </c>
      <c r="F2" s="1404" t="str">
        <f>Head2</f>
        <v>Current Year 2011/12</v>
      </c>
      <c r="G2" s="1405"/>
      <c r="H2" s="1408"/>
      <c r="I2" s="1401" t="str">
        <f>Head3</f>
        <v>2012/13 Medium Term Revenue &amp; Expenditure Framework</v>
      </c>
      <c r="J2" s="1402"/>
      <c r="K2" s="1403"/>
    </row>
    <row r="3" spans="1:11" ht="25.5">
      <c r="A3" s="1192" t="s">
        <v>68</v>
      </c>
      <c r="B3" s="1367"/>
      <c r="C3" s="1111" t="str">
        <f>Head5</f>
        <v>Audited Outcome</v>
      </c>
      <c r="D3" s="1488" t="str">
        <f>Head5</f>
        <v>Audited Outcome</v>
      </c>
      <c r="E3" s="1112" t="str">
        <f>Head5</f>
        <v>Audited Outcome</v>
      </c>
      <c r="F3" s="1110" t="str">
        <f>Head6</f>
        <v>Original Budget</v>
      </c>
      <c r="G3" s="1111" t="str">
        <f>Head7</f>
        <v>Adjusted Budget</v>
      </c>
      <c r="H3" s="1112" t="str">
        <f>Head8</f>
        <v>Full Year Forecast</v>
      </c>
      <c r="I3" s="1110" t="str">
        <f>Head9</f>
        <v>Budget Year 2012/13</v>
      </c>
      <c r="J3" s="1111" t="str">
        <f>Head10</f>
        <v>Budget Year +1 2013/14</v>
      </c>
      <c r="K3" s="1112" t="str">
        <f>Head11</f>
        <v>Budget Year +2 2014/15</v>
      </c>
    </row>
    <row r="4" spans="1:11">
      <c r="A4" s="1346" t="s">
        <v>354</v>
      </c>
      <c r="B4" s="1489">
        <v>1</v>
      </c>
      <c r="C4" s="1490"/>
      <c r="D4" s="1490"/>
      <c r="E4" s="1491"/>
      <c r="F4" s="1492"/>
      <c r="G4" s="1490"/>
      <c r="H4" s="1493"/>
      <c r="I4" s="1494"/>
      <c r="J4" s="1490"/>
      <c r="K4" s="1491"/>
    </row>
    <row r="5" spans="1:11">
      <c r="A5" s="1193"/>
      <c r="B5" s="1194"/>
      <c r="C5" s="1495"/>
      <c r="D5" s="1495"/>
      <c r="E5" s="1496"/>
      <c r="F5" s="1497"/>
      <c r="G5" s="1495"/>
      <c r="H5" s="1498"/>
      <c r="I5" s="1499"/>
      <c r="J5" s="1495"/>
      <c r="K5" s="1496"/>
    </row>
    <row r="6" spans="1:11">
      <c r="A6" s="1193" t="s">
        <v>355</v>
      </c>
      <c r="B6" s="1194"/>
      <c r="C6" s="1495"/>
      <c r="D6" s="1495"/>
      <c r="E6" s="1496"/>
      <c r="F6" s="1497"/>
      <c r="G6" s="1495"/>
      <c r="H6" s="1498"/>
      <c r="I6" s="1499"/>
      <c r="J6" s="1495"/>
      <c r="K6" s="1496"/>
    </row>
    <row r="7" spans="1:11">
      <c r="A7" s="1500" t="str">
        <f>[2]SA18!A7</f>
        <v>National Government:</v>
      </c>
      <c r="B7" s="1194"/>
      <c r="C7" s="1495">
        <f>SUM(C8:C15)</f>
        <v>18871204</v>
      </c>
      <c r="D7" s="1495">
        <f t="shared" ref="D7:K7" si="0">SUM(D8:D15)</f>
        <v>23697384</v>
      </c>
      <c r="E7" s="1496">
        <f t="shared" si="0"/>
        <v>30272906.736200001</v>
      </c>
      <c r="F7" s="1497">
        <f t="shared" si="0"/>
        <v>35370000</v>
      </c>
      <c r="G7" s="1495">
        <f t="shared" si="0"/>
        <v>35370000</v>
      </c>
      <c r="H7" s="1498">
        <f t="shared" si="0"/>
        <v>35370000</v>
      </c>
      <c r="I7" s="1499">
        <f t="shared" si="0"/>
        <v>40796950</v>
      </c>
      <c r="J7" s="1495">
        <f t="shared" si="0"/>
        <v>42905852</v>
      </c>
      <c r="K7" s="1496">
        <f t="shared" si="0"/>
        <v>46482000</v>
      </c>
    </row>
    <row r="8" spans="1:11">
      <c r="A8" s="1550" t="str">
        <f>IF([2]SA18!A8="","",[2]SA18!A8)</f>
        <v>Local Government Equitable Share</v>
      </c>
      <c r="B8" s="1194"/>
      <c r="C8" s="1501">
        <v>15636204</v>
      </c>
      <c r="D8" s="1501">
        <v>20232384</v>
      </c>
      <c r="E8" s="1502">
        <v>24795000</v>
      </c>
      <c r="F8" s="1503">
        <f>32105000-F15</f>
        <v>30979000</v>
      </c>
      <c r="G8" s="1501">
        <f>32105000-G15</f>
        <v>30979000</v>
      </c>
      <c r="H8" s="1515">
        <f>32105000-H15</f>
        <v>30979000</v>
      </c>
      <c r="I8" s="1501">
        <v>34321000</v>
      </c>
      <c r="J8" s="1501">
        <v>36758000</v>
      </c>
      <c r="K8" s="1501">
        <v>39485000</v>
      </c>
    </row>
    <row r="9" spans="1:11">
      <c r="A9" s="1550" t="str">
        <f>IF([2]SA18!A9="","",[2]SA18!A9)</f>
        <v xml:space="preserve">  Finance Management</v>
      </c>
      <c r="B9" s="1194"/>
      <c r="C9" s="1506">
        <v>2500000</v>
      </c>
      <c r="D9" s="1506">
        <v>1500000</v>
      </c>
      <c r="E9" s="1507">
        <v>1500000</v>
      </c>
      <c r="F9" s="1508">
        <v>1500000</v>
      </c>
      <c r="G9" s="1506">
        <v>1500000</v>
      </c>
      <c r="H9" s="1510">
        <v>1500000</v>
      </c>
      <c r="I9" s="1506">
        <v>1500000</v>
      </c>
      <c r="J9" s="1506">
        <v>1500000</v>
      </c>
      <c r="K9" s="1506">
        <v>1750000</v>
      </c>
    </row>
    <row r="10" spans="1:11">
      <c r="A10" s="1550" t="str">
        <f>IF([2]SA18!A10="","",[2]SA18!A10)</f>
        <v xml:space="preserve">  Municipal Systems Improvement</v>
      </c>
      <c r="B10" s="1194"/>
      <c r="C10" s="1506">
        <v>735000</v>
      </c>
      <c r="D10" s="1506">
        <v>1300000</v>
      </c>
      <c r="E10" s="1507">
        <v>1200000</v>
      </c>
      <c r="F10" s="1508">
        <v>790000</v>
      </c>
      <c r="G10" s="1506">
        <v>790000</v>
      </c>
      <c r="H10" s="1510">
        <v>790000</v>
      </c>
      <c r="I10" s="1506">
        <v>800000</v>
      </c>
      <c r="J10" s="1506">
        <v>870000</v>
      </c>
      <c r="K10" s="1506">
        <v>950000</v>
      </c>
    </row>
    <row r="11" spans="1:11">
      <c r="A11" s="1550" t="str">
        <f>IF([2]SA18!A11="","",[2]SA18!A11)</f>
        <v xml:space="preserve">  Department of Water Affairs</v>
      </c>
      <c r="B11" s="1194"/>
      <c r="C11" s="1506"/>
      <c r="D11" s="1506"/>
      <c r="E11" s="1507">
        <v>1123263.6162</v>
      </c>
      <c r="F11" s="1508"/>
      <c r="G11" s="1506"/>
      <c r="H11" s="1510"/>
      <c r="I11" s="1506">
        <v>0</v>
      </c>
      <c r="J11" s="1506">
        <v>0</v>
      </c>
      <c r="K11" s="1506">
        <v>0</v>
      </c>
    </row>
    <row r="12" spans="1:11">
      <c r="A12" s="1550" t="str">
        <f>IF([2]SA18!A12="","",[2]SA18!A12)</f>
        <v>EPWP Incentive</v>
      </c>
      <c r="B12" s="1194"/>
      <c r="C12" s="1506"/>
      <c r="D12" s="1506"/>
      <c r="E12" s="1507"/>
      <c r="F12" s="1508"/>
      <c r="G12" s="1506"/>
      <c r="H12" s="1510"/>
      <c r="I12" s="1506">
        <v>1000000</v>
      </c>
      <c r="J12" s="1506">
        <v>0</v>
      </c>
      <c r="K12" s="1506">
        <v>0</v>
      </c>
    </row>
    <row r="13" spans="1:11">
      <c r="A13" s="1550" t="str">
        <f>IF([2]SA18!A13="","",[2]SA18!A13)</f>
        <v/>
      </c>
      <c r="B13" s="1194"/>
      <c r="C13" s="1506"/>
      <c r="D13" s="1506"/>
      <c r="E13" s="1507"/>
      <c r="F13" s="1508"/>
      <c r="G13" s="1506"/>
      <c r="H13" s="1510"/>
      <c r="I13" s="1506">
        <v>0</v>
      </c>
      <c r="J13" s="1506">
        <v>0</v>
      </c>
      <c r="K13" s="1506">
        <v>0</v>
      </c>
    </row>
    <row r="14" spans="1:11">
      <c r="A14" s="1550" t="s">
        <v>536</v>
      </c>
      <c r="B14" s="1194"/>
      <c r="C14" s="1506"/>
      <c r="D14" s="1506"/>
      <c r="E14" s="1507">
        <v>739643.12</v>
      </c>
      <c r="F14" s="1508">
        <v>975000</v>
      </c>
      <c r="G14" s="1506">
        <v>975000</v>
      </c>
      <c r="H14" s="1510">
        <v>975000</v>
      </c>
      <c r="I14" s="1506">
        <v>1182950</v>
      </c>
      <c r="J14" s="1506">
        <v>1247852</v>
      </c>
      <c r="K14" s="1506">
        <v>1320000</v>
      </c>
    </row>
    <row r="15" spans="1:11">
      <c r="A15" s="1505" t="str">
        <f>[2]SA18!A15</f>
        <v>Special Contribution Councillors</v>
      </c>
      <c r="B15" s="1194"/>
      <c r="C15" s="1511"/>
      <c r="D15" s="1511">
        <v>665000</v>
      </c>
      <c r="E15" s="1512">
        <v>915000</v>
      </c>
      <c r="F15" s="1513">
        <v>1126000</v>
      </c>
      <c r="G15" s="1511">
        <v>1126000</v>
      </c>
      <c r="H15" s="1511">
        <v>1126000</v>
      </c>
      <c r="I15" s="1511">
        <v>1993000</v>
      </c>
      <c r="J15" s="1511">
        <v>2530000</v>
      </c>
      <c r="K15" s="1511">
        <v>2977000</v>
      </c>
    </row>
    <row r="16" spans="1:11">
      <c r="A16" s="1500" t="str">
        <f>[2]SA18!A16</f>
        <v>Provincial Government:</v>
      </c>
      <c r="B16" s="1194"/>
      <c r="C16" s="1495">
        <f>SUM(C17:C22)</f>
        <v>2023761</v>
      </c>
      <c r="D16" s="1495">
        <f t="shared" ref="D16:K16" si="1">SUM(D17:D22)</f>
        <v>2365956.21</v>
      </c>
      <c r="E16" s="1496">
        <f t="shared" si="1"/>
        <v>1250607.1894</v>
      </c>
      <c r="F16" s="1497">
        <f t="shared" si="1"/>
        <v>245000</v>
      </c>
      <c r="G16" s="1495">
        <f t="shared" si="1"/>
        <v>0</v>
      </c>
      <c r="H16" s="1498">
        <f t="shared" si="1"/>
        <v>0</v>
      </c>
      <c r="I16" s="1499">
        <f t="shared" si="1"/>
        <v>1157000</v>
      </c>
      <c r="J16" s="1495">
        <f t="shared" si="1"/>
        <v>1157000</v>
      </c>
      <c r="K16" s="1496">
        <f t="shared" si="1"/>
        <v>1157000</v>
      </c>
    </row>
    <row r="17" spans="1:12">
      <c r="A17" s="1550" t="str">
        <f>IF([2]SA18!A17="","",[2]SA18!A17)</f>
        <v>Health subsidy</v>
      </c>
      <c r="B17" s="1194"/>
      <c r="C17" s="1501">
        <v>2023761</v>
      </c>
      <c r="D17" s="1501">
        <v>2365956.21</v>
      </c>
      <c r="E17" s="1502">
        <v>1090842</v>
      </c>
      <c r="F17" s="1503"/>
      <c r="G17" s="1501"/>
      <c r="H17" s="1515"/>
      <c r="I17" s="1503">
        <v>0</v>
      </c>
      <c r="J17" s="1503">
        <v>0</v>
      </c>
      <c r="K17" s="1503">
        <v>0</v>
      </c>
    </row>
    <row r="18" spans="1:12">
      <c r="A18" s="1550" t="str">
        <f>IF([2]SA18!A18="","",[2]SA18!A18)</f>
        <v>IDP</v>
      </c>
      <c r="B18" s="1194"/>
      <c r="C18" s="1506"/>
      <c r="D18" s="1506"/>
      <c r="E18" s="1507">
        <v>159765.1894</v>
      </c>
      <c r="F18" s="1508">
        <v>245000</v>
      </c>
      <c r="G18" s="1506"/>
      <c r="H18" s="1510"/>
      <c r="I18" s="1508">
        <v>0</v>
      </c>
      <c r="J18" s="1508">
        <v>0</v>
      </c>
      <c r="K18" s="1508">
        <v>0</v>
      </c>
    </row>
    <row r="19" spans="1:12">
      <c r="A19" s="1550" t="s">
        <v>340</v>
      </c>
      <c r="B19" s="1194"/>
      <c r="C19" s="1506"/>
      <c r="D19" s="1506"/>
      <c r="E19" s="1507"/>
      <c r="F19" s="1508"/>
      <c r="G19" s="1506"/>
      <c r="H19" s="1510"/>
      <c r="I19" s="1508">
        <v>0</v>
      </c>
      <c r="J19" s="1508">
        <v>0</v>
      </c>
      <c r="K19" s="1508">
        <v>0</v>
      </c>
    </row>
    <row r="20" spans="1:12">
      <c r="A20" s="1550" t="str">
        <f>IF([2]SA18!A20="","",[2]SA18!A20)</f>
        <v/>
      </c>
      <c r="B20" s="1194"/>
      <c r="C20" s="1506"/>
      <c r="D20" s="1506"/>
      <c r="E20" s="1507"/>
      <c r="F20" s="1508"/>
      <c r="G20" s="1506"/>
      <c r="H20" s="1510"/>
      <c r="I20" s="1508">
        <v>0</v>
      </c>
      <c r="J20" s="1508">
        <v>0</v>
      </c>
      <c r="K20" s="1508">
        <v>0</v>
      </c>
    </row>
    <row r="21" spans="1:12">
      <c r="A21" s="1550"/>
      <c r="B21" s="1194"/>
      <c r="C21" s="1506"/>
      <c r="D21" s="1506"/>
      <c r="E21" s="1507"/>
      <c r="F21" s="1508"/>
      <c r="G21" s="1506"/>
      <c r="H21" s="1510"/>
      <c r="I21" s="1508"/>
      <c r="J21" s="1508"/>
      <c r="K21" s="1508"/>
    </row>
    <row r="22" spans="1:12">
      <c r="A22" s="1505" t="str">
        <f>[2]SA18!A22</f>
        <v>LIBRARIES</v>
      </c>
      <c r="B22" s="1194"/>
      <c r="C22" s="1511"/>
      <c r="D22" s="1511"/>
      <c r="E22" s="1512"/>
      <c r="F22" s="1513"/>
      <c r="G22" s="1511"/>
      <c r="H22" s="1517"/>
      <c r="I22" s="1513">
        <v>1157000</v>
      </c>
      <c r="J22" s="1513">
        <v>1157000</v>
      </c>
      <c r="K22" s="1513">
        <v>1157000</v>
      </c>
      <c r="L22" s="1126"/>
    </row>
    <row r="23" spans="1:12">
      <c r="A23" s="1500" t="str">
        <f>[2]SA18!A23</f>
        <v>District Municipality:</v>
      </c>
      <c r="B23" s="1194"/>
      <c r="C23" s="1495">
        <f>SUM(C24:C25)</f>
        <v>535884</v>
      </c>
      <c r="D23" s="1495">
        <f t="shared" ref="D23:K23" si="2">SUM(D24:D25)</f>
        <v>738653.9</v>
      </c>
      <c r="E23" s="1496">
        <f t="shared" si="2"/>
        <v>1018805</v>
      </c>
      <c r="F23" s="1497">
        <f t="shared" si="2"/>
        <v>913151</v>
      </c>
      <c r="G23" s="1495">
        <f t="shared" si="2"/>
        <v>913151</v>
      </c>
      <c r="H23" s="1498">
        <f t="shared" si="2"/>
        <v>913151</v>
      </c>
      <c r="I23" s="1499">
        <f t="shared" si="2"/>
        <v>967940.06</v>
      </c>
      <c r="J23" s="1495">
        <f t="shared" si="2"/>
        <v>1019240.88318</v>
      </c>
      <c r="K23" s="1496">
        <f t="shared" si="2"/>
        <v>1069183.68645582</v>
      </c>
      <c r="L23" s="1126"/>
    </row>
    <row r="24" spans="1:12">
      <c r="A24" s="1518" t="str">
        <f>[2]SA18!A24</f>
        <v>Environmental health</v>
      </c>
      <c r="B24" s="1194"/>
      <c r="C24" s="1501">
        <v>535884</v>
      </c>
      <c r="D24" s="1501">
        <v>738653.9</v>
      </c>
      <c r="E24" s="1502">
        <v>1018805</v>
      </c>
      <c r="F24" s="1551">
        <v>913151</v>
      </c>
      <c r="G24" s="1501">
        <v>913151</v>
      </c>
      <c r="H24" s="1515">
        <v>913151</v>
      </c>
      <c r="I24" s="1504">
        <v>967940.06</v>
      </c>
      <c r="J24" s="1504">
        <v>1019240.88318</v>
      </c>
      <c r="K24" s="1504">
        <v>1069183.68645582</v>
      </c>
      <c r="L24" s="1126"/>
    </row>
    <row r="25" spans="1:12">
      <c r="A25" s="1518"/>
      <c r="B25" s="1194"/>
      <c r="C25" s="1511"/>
      <c r="D25" s="1511"/>
      <c r="E25" s="1512"/>
      <c r="F25" s="1513"/>
      <c r="G25" s="1511"/>
      <c r="H25" s="1517"/>
      <c r="I25" s="1514"/>
      <c r="J25" s="1511"/>
      <c r="K25" s="1512"/>
      <c r="L25" s="1126"/>
    </row>
    <row r="26" spans="1:12">
      <c r="A26" s="1500" t="str">
        <f>[2]SA18!A26</f>
        <v>Other grant providers:</v>
      </c>
      <c r="B26" s="1194"/>
      <c r="C26" s="1495">
        <f>SUM(C27:C28)</f>
        <v>0</v>
      </c>
      <c r="D26" s="1495">
        <f t="shared" ref="D26:K26" si="3">SUM(D27:D28)</f>
        <v>0</v>
      </c>
      <c r="E26" s="1496">
        <f t="shared" si="3"/>
        <v>0</v>
      </c>
      <c r="F26" s="1497">
        <f t="shared" si="3"/>
        <v>0</v>
      </c>
      <c r="G26" s="1495">
        <f t="shared" si="3"/>
        <v>0</v>
      </c>
      <c r="H26" s="1498">
        <f t="shared" si="3"/>
        <v>0</v>
      </c>
      <c r="I26" s="1499">
        <f t="shared" si="3"/>
        <v>0</v>
      </c>
      <c r="J26" s="1495">
        <f t="shared" si="3"/>
        <v>0</v>
      </c>
      <c r="K26" s="1496">
        <f t="shared" si="3"/>
        <v>0</v>
      </c>
      <c r="L26" s="1126"/>
    </row>
    <row r="27" spans="1:12">
      <c r="A27" s="1518">
        <f>[2]SA18!A27</f>
        <v>0</v>
      </c>
      <c r="B27" s="1194"/>
      <c r="C27" s="1501"/>
      <c r="D27" s="1501"/>
      <c r="E27" s="1502"/>
      <c r="F27" s="1503"/>
      <c r="G27" s="1501"/>
      <c r="H27" s="1515"/>
      <c r="I27" s="1504">
        <f>+[2]SA18!I27</f>
        <v>0</v>
      </c>
      <c r="J27" s="1504">
        <f>+[2]SA18!J27</f>
        <v>0</v>
      </c>
      <c r="K27" s="1504">
        <f>+[2]SA18!K27</f>
        <v>0</v>
      </c>
      <c r="L27" s="1126"/>
    </row>
    <row r="28" spans="1:12">
      <c r="A28" s="1518"/>
      <c r="B28" s="1194"/>
      <c r="C28" s="1511"/>
      <c r="D28" s="1511"/>
      <c r="E28" s="1512"/>
      <c r="F28" s="1513"/>
      <c r="G28" s="1511"/>
      <c r="H28" s="1517"/>
      <c r="I28" s="1514"/>
      <c r="J28" s="1511"/>
      <c r="K28" s="1512"/>
      <c r="L28" s="1126"/>
    </row>
    <row r="29" spans="1:12" s="1527" customFormat="1">
      <c r="A29" s="1519" t="s">
        <v>356</v>
      </c>
      <c r="B29" s="1520"/>
      <c r="C29" s="1521">
        <f t="shared" ref="C29:K29" si="4">C7+C16+C23+C26</f>
        <v>21430849</v>
      </c>
      <c r="D29" s="1521">
        <f t="shared" si="4"/>
        <v>26801994.109999999</v>
      </c>
      <c r="E29" s="1522">
        <f t="shared" si="4"/>
        <v>32542318.9256</v>
      </c>
      <c r="F29" s="1523">
        <f t="shared" si="4"/>
        <v>36528151</v>
      </c>
      <c r="G29" s="1521">
        <f t="shared" si="4"/>
        <v>36283151</v>
      </c>
      <c r="H29" s="1524">
        <f t="shared" si="4"/>
        <v>36283151</v>
      </c>
      <c r="I29" s="1525">
        <f t="shared" si="4"/>
        <v>42921890.060000002</v>
      </c>
      <c r="J29" s="1521">
        <f t="shared" si="4"/>
        <v>45082092.88318</v>
      </c>
      <c r="K29" s="1522">
        <f t="shared" si="4"/>
        <v>48708183.686455823</v>
      </c>
      <c r="L29" s="1526"/>
    </row>
    <row r="30" spans="1:12">
      <c r="A30" s="1338"/>
      <c r="B30" s="1194"/>
      <c r="C30" s="1528"/>
      <c r="D30" s="1528"/>
      <c r="E30" s="1529"/>
      <c r="F30" s="1530"/>
      <c r="G30" s="1528"/>
      <c r="H30" s="1531"/>
      <c r="I30" s="1532"/>
      <c r="J30" s="1528"/>
      <c r="K30" s="1529"/>
      <c r="L30" s="1126"/>
    </row>
    <row r="31" spans="1:12">
      <c r="A31" s="1193" t="s">
        <v>357</v>
      </c>
      <c r="B31" s="1194"/>
      <c r="C31" s="1528"/>
      <c r="D31" s="1528"/>
      <c r="E31" s="1529"/>
      <c r="F31" s="1530"/>
      <c r="G31" s="1528"/>
      <c r="H31" s="1531"/>
      <c r="I31" s="1532"/>
      <c r="J31" s="1528"/>
      <c r="K31" s="1529"/>
      <c r="L31" s="1126"/>
    </row>
    <row r="32" spans="1:12">
      <c r="A32" s="1500" t="str">
        <f>[2]SA18!A32</f>
        <v>National Government:</v>
      </c>
      <c r="B32" s="1194"/>
      <c r="C32" s="1495">
        <f>SUM(C33:C38)</f>
        <v>0</v>
      </c>
      <c r="D32" s="1495">
        <f t="shared" ref="D32:K32" si="5">SUM(D33:D38)</f>
        <v>0</v>
      </c>
      <c r="E32" s="1496">
        <f t="shared" si="5"/>
        <v>25300562.490000002</v>
      </c>
      <c r="F32" s="1497">
        <f t="shared" si="5"/>
        <v>18528800</v>
      </c>
      <c r="G32" s="1495">
        <f t="shared" si="5"/>
        <v>18528800</v>
      </c>
      <c r="H32" s="1498">
        <f t="shared" si="5"/>
        <v>18528800</v>
      </c>
      <c r="I32" s="1499">
        <f t="shared" si="5"/>
        <v>40659000</v>
      </c>
      <c r="J32" s="1495">
        <f t="shared" si="5"/>
        <v>31423000</v>
      </c>
      <c r="K32" s="1496">
        <f t="shared" si="5"/>
        <v>26400000</v>
      </c>
      <c r="L32" s="1126"/>
    </row>
    <row r="33" spans="1:15">
      <c r="A33" s="1550" t="str">
        <f>IF([2]SA18!A33="","",[2]SA18!A33)</f>
        <v xml:space="preserve"> Municipal Infrastructure Grant (MIG)</v>
      </c>
      <c r="B33" s="1194"/>
      <c r="C33" s="1501"/>
      <c r="D33" s="1501"/>
      <c r="E33" s="1502">
        <v>13216187.93</v>
      </c>
      <c r="F33" s="1551">
        <v>18528800</v>
      </c>
      <c r="G33" s="1501">
        <v>18528800</v>
      </c>
      <c r="H33" s="1515">
        <v>18528800</v>
      </c>
      <c r="I33" s="1551">
        <v>23659000</v>
      </c>
      <c r="J33" s="1551">
        <v>24957000</v>
      </c>
      <c r="K33" s="1551">
        <v>26400000</v>
      </c>
      <c r="L33" s="1126"/>
    </row>
    <row r="34" spans="1:15">
      <c r="A34" s="1550" t="str">
        <f>IF([2]SA18!A34="","",[2]SA18!A34)</f>
        <v>Regional Bulk Infrastructure</v>
      </c>
      <c r="B34" s="1194"/>
      <c r="C34" s="1506"/>
      <c r="D34" s="1506"/>
      <c r="E34" s="1507">
        <v>12084374.560000001</v>
      </c>
      <c r="F34" s="1508"/>
      <c r="G34" s="1506"/>
      <c r="H34" s="1510"/>
      <c r="I34" s="1508">
        <v>17000000</v>
      </c>
      <c r="J34" s="1508">
        <v>6466000</v>
      </c>
      <c r="K34" s="1508">
        <v>0</v>
      </c>
      <c r="L34" s="1126"/>
    </row>
    <row r="35" spans="1:15">
      <c r="A35" s="1550" t="str">
        <f>IF([2]SA18!A35="","",[2]SA18!A35)</f>
        <v/>
      </c>
      <c r="B35" s="1194"/>
      <c r="C35" s="1506"/>
      <c r="D35" s="1506"/>
      <c r="E35" s="1507"/>
      <c r="F35" s="1508"/>
      <c r="G35" s="1506"/>
      <c r="H35" s="1510"/>
      <c r="I35" s="1508"/>
      <c r="J35" s="1508"/>
      <c r="K35" s="1508"/>
      <c r="L35" s="1126"/>
    </row>
    <row r="36" spans="1:15">
      <c r="A36" s="1550" t="str">
        <f>IF([2]SA18!A36="","",[2]SA18!A36)</f>
        <v/>
      </c>
      <c r="B36" s="1194"/>
      <c r="C36" s="1506"/>
      <c r="D36" s="1506"/>
      <c r="E36" s="1507"/>
      <c r="F36" s="1508"/>
      <c r="G36" s="1506"/>
      <c r="H36" s="1510"/>
      <c r="I36" s="1508"/>
      <c r="J36" s="1508"/>
      <c r="K36" s="1508"/>
      <c r="L36" s="1126"/>
    </row>
    <row r="37" spans="1:15">
      <c r="A37" s="1550" t="str">
        <f>IF([2]SA18!A37="","",[2]SA18!A37)</f>
        <v/>
      </c>
      <c r="B37" s="1194"/>
      <c r="C37" s="1506"/>
      <c r="D37" s="1506"/>
      <c r="E37" s="1507"/>
      <c r="F37" s="1508"/>
      <c r="G37" s="1506"/>
      <c r="H37" s="1510"/>
      <c r="I37" s="1508"/>
      <c r="J37" s="1508"/>
      <c r="K37" s="1508"/>
      <c r="L37" s="1126"/>
    </row>
    <row r="38" spans="1:15">
      <c r="A38" s="1505" t="str">
        <f>[2]SA18!A38</f>
        <v xml:space="preserve">  Other capital transfers/grants [insert desc]</v>
      </c>
      <c r="B38" s="1194"/>
      <c r="C38" s="1511"/>
      <c r="D38" s="1511"/>
      <c r="E38" s="1512"/>
      <c r="F38" s="1513"/>
      <c r="G38" s="1511"/>
      <c r="H38" s="1517"/>
      <c r="I38" s="1513"/>
      <c r="J38" s="1513"/>
      <c r="K38" s="1513"/>
      <c r="L38" s="1126"/>
    </row>
    <row r="39" spans="1:15">
      <c r="A39" s="1533" t="str">
        <f>[2]SA18!A39</f>
        <v>Provincial Government:</v>
      </c>
      <c r="B39" s="1194"/>
      <c r="C39" s="1495">
        <f>SUM(C40)</f>
        <v>0</v>
      </c>
      <c r="D39" s="1495">
        <f t="shared" ref="D39:K39" si="6">SUM(D40)</f>
        <v>0</v>
      </c>
      <c r="E39" s="1496">
        <f t="shared" si="6"/>
        <v>0</v>
      </c>
      <c r="F39" s="1497">
        <f t="shared" si="6"/>
        <v>0</v>
      </c>
      <c r="G39" s="1495">
        <f t="shared" si="6"/>
        <v>0</v>
      </c>
      <c r="H39" s="1498">
        <f t="shared" si="6"/>
        <v>0</v>
      </c>
      <c r="I39" s="1499">
        <f t="shared" si="6"/>
        <v>0</v>
      </c>
      <c r="J39" s="1495">
        <f t="shared" si="6"/>
        <v>0</v>
      </c>
      <c r="K39" s="1496">
        <f t="shared" si="6"/>
        <v>0</v>
      </c>
      <c r="L39" s="1126"/>
      <c r="O39" s="1126"/>
    </row>
    <row r="40" spans="1:15">
      <c r="A40" s="1534" t="str">
        <f>[2]SA18!A40</f>
        <v>DWAF</v>
      </c>
      <c r="B40" s="1194"/>
      <c r="C40" s="1535"/>
      <c r="D40" s="1535"/>
      <c r="E40" s="1536"/>
      <c r="F40" s="1537"/>
      <c r="G40" s="1535"/>
      <c r="H40" s="1538"/>
      <c r="I40" s="1539"/>
      <c r="J40" s="1535"/>
      <c r="K40" s="1536"/>
      <c r="L40" s="1126"/>
    </row>
    <row r="41" spans="1:15">
      <c r="A41" s="1500" t="str">
        <f>[2]SA18!A41</f>
        <v>District Municipality:</v>
      </c>
      <c r="B41" s="1194"/>
      <c r="C41" s="1495">
        <f>SUM(C42:C43)</f>
        <v>0</v>
      </c>
      <c r="D41" s="1495">
        <f t="shared" ref="D41:K41" si="7">SUM(D42:D43)</f>
        <v>0</v>
      </c>
      <c r="E41" s="1496">
        <f t="shared" si="7"/>
        <v>0</v>
      </c>
      <c r="F41" s="1497">
        <f t="shared" si="7"/>
        <v>0</v>
      </c>
      <c r="G41" s="1495">
        <f t="shared" si="7"/>
        <v>0</v>
      </c>
      <c r="H41" s="1498">
        <f t="shared" si="7"/>
        <v>0</v>
      </c>
      <c r="I41" s="1499">
        <f t="shared" si="7"/>
        <v>0</v>
      </c>
      <c r="J41" s="1495">
        <f t="shared" si="7"/>
        <v>0</v>
      </c>
      <c r="K41" s="1496">
        <f t="shared" si="7"/>
        <v>0</v>
      </c>
      <c r="L41" s="1126"/>
    </row>
    <row r="42" spans="1:15">
      <c r="A42" s="1518" t="str">
        <f>[2]SA18!A42</f>
        <v>Environmental health</v>
      </c>
      <c r="B42" s="1194"/>
      <c r="C42" s="1501"/>
      <c r="D42" s="1501"/>
      <c r="E42" s="1502"/>
      <c r="F42" s="1503"/>
      <c r="G42" s="1501"/>
      <c r="H42" s="1515"/>
      <c r="I42" s="1504"/>
      <c r="J42" s="1501"/>
      <c r="K42" s="1502"/>
      <c r="L42" s="1126"/>
    </row>
    <row r="43" spans="1:15">
      <c r="A43" s="1518"/>
      <c r="B43" s="1194"/>
      <c r="C43" s="1511"/>
      <c r="D43" s="1511"/>
      <c r="E43" s="1512"/>
      <c r="F43" s="1513"/>
      <c r="G43" s="1511"/>
      <c r="H43" s="1517"/>
      <c r="I43" s="1514"/>
      <c r="J43" s="1511"/>
      <c r="K43" s="1512"/>
      <c r="L43" s="1126"/>
    </row>
    <row r="44" spans="1:15">
      <c r="A44" s="1500" t="str">
        <f>[2]SA18!A44</f>
        <v>Other grant providers:</v>
      </c>
      <c r="B44" s="1194"/>
      <c r="C44" s="1495">
        <f>SUM(C45:C46)</f>
        <v>0</v>
      </c>
      <c r="D44" s="1495">
        <f t="shared" ref="D44:K44" si="8">SUM(D45:D46)</f>
        <v>0</v>
      </c>
      <c r="E44" s="1496">
        <f t="shared" si="8"/>
        <v>0</v>
      </c>
      <c r="F44" s="1497">
        <f t="shared" si="8"/>
        <v>0</v>
      </c>
      <c r="G44" s="1495">
        <f t="shared" si="8"/>
        <v>0</v>
      </c>
      <c r="H44" s="1498">
        <f t="shared" si="8"/>
        <v>0</v>
      </c>
      <c r="I44" s="1499">
        <f t="shared" si="8"/>
        <v>0</v>
      </c>
      <c r="J44" s="1495">
        <f t="shared" si="8"/>
        <v>0</v>
      </c>
      <c r="K44" s="1496">
        <f t="shared" si="8"/>
        <v>0</v>
      </c>
      <c r="L44" s="1126"/>
    </row>
    <row r="45" spans="1:15">
      <c r="A45" s="1518" t="str">
        <f>[2]SA18!A45</f>
        <v>LED</v>
      </c>
      <c r="B45" s="1194"/>
      <c r="C45" s="1501"/>
      <c r="D45" s="1501"/>
      <c r="E45" s="1502"/>
      <c r="F45" s="1503"/>
      <c r="G45" s="1501"/>
      <c r="H45" s="1515"/>
      <c r="I45" s="1504">
        <f>+[2]SA18!I45</f>
        <v>0</v>
      </c>
      <c r="J45" s="1504">
        <f>+[2]SA18!J45</f>
        <v>0</v>
      </c>
      <c r="K45" s="1504">
        <f>+[2]SA18!K45</f>
        <v>0</v>
      </c>
      <c r="L45" s="1126"/>
    </row>
    <row r="46" spans="1:15">
      <c r="A46" s="1518"/>
      <c r="B46" s="1194"/>
      <c r="C46" s="1511"/>
      <c r="D46" s="1511"/>
      <c r="E46" s="1512"/>
      <c r="F46" s="1513"/>
      <c r="G46" s="1511"/>
      <c r="H46" s="1517"/>
      <c r="I46" s="1514"/>
      <c r="J46" s="1511"/>
      <c r="K46" s="1512"/>
      <c r="L46" s="1126"/>
    </row>
    <row r="47" spans="1:15">
      <c r="A47" s="1540" t="s">
        <v>358</v>
      </c>
      <c r="B47" s="1541"/>
      <c r="C47" s="1495">
        <f>C32+C39+C41+C44</f>
        <v>0</v>
      </c>
      <c r="D47" s="1495">
        <f t="shared" ref="D47:K47" si="9">D32+D39+D41+D44</f>
        <v>0</v>
      </c>
      <c r="E47" s="1496">
        <f t="shared" si="9"/>
        <v>25300562.490000002</v>
      </c>
      <c r="F47" s="1497">
        <f t="shared" si="9"/>
        <v>18528800</v>
      </c>
      <c r="G47" s="1495">
        <f t="shared" si="9"/>
        <v>18528800</v>
      </c>
      <c r="H47" s="1498">
        <f t="shared" si="9"/>
        <v>18528800</v>
      </c>
      <c r="I47" s="1499">
        <f t="shared" si="9"/>
        <v>40659000</v>
      </c>
      <c r="J47" s="1495">
        <f t="shared" si="9"/>
        <v>31423000</v>
      </c>
      <c r="K47" s="1496">
        <f t="shared" si="9"/>
        <v>26400000</v>
      </c>
      <c r="L47" s="1126"/>
    </row>
    <row r="48" spans="1:15">
      <c r="A48" s="1338"/>
      <c r="B48" s="1194"/>
      <c r="C48" s="1528"/>
      <c r="D48" s="1528"/>
      <c r="E48" s="1529"/>
      <c r="F48" s="1530"/>
      <c r="G48" s="1528"/>
      <c r="H48" s="1531"/>
      <c r="I48" s="1532"/>
      <c r="J48" s="1528"/>
      <c r="K48" s="1529"/>
      <c r="L48" s="1126"/>
    </row>
    <row r="49" spans="1:12" s="1527" customFormat="1">
      <c r="A49" s="1552" t="s">
        <v>359</v>
      </c>
      <c r="B49" s="1553"/>
      <c r="C49" s="1544">
        <f t="shared" ref="C49:K49" si="10">C29+C47</f>
        <v>21430849</v>
      </c>
      <c r="D49" s="1544">
        <f t="shared" si="10"/>
        <v>26801994.109999999</v>
      </c>
      <c r="E49" s="1545">
        <f t="shared" si="10"/>
        <v>57842881.415600002</v>
      </c>
      <c r="F49" s="1546">
        <f t="shared" si="10"/>
        <v>55056951</v>
      </c>
      <c r="G49" s="1544">
        <f t="shared" si="10"/>
        <v>54811951</v>
      </c>
      <c r="H49" s="1547">
        <f t="shared" si="10"/>
        <v>54811951</v>
      </c>
      <c r="I49" s="1548">
        <f t="shared" si="10"/>
        <v>83580890.060000002</v>
      </c>
      <c r="J49" s="1544">
        <f t="shared" si="10"/>
        <v>76505092.883179992</v>
      </c>
      <c r="K49" s="1545">
        <f t="shared" si="10"/>
        <v>75108183.686455816</v>
      </c>
      <c r="L49" s="1526"/>
    </row>
    <row r="50" spans="1:12" s="1461" customFormat="1">
      <c r="A50" s="1460" t="str">
        <f>head27a</f>
        <v>References</v>
      </c>
      <c r="B50" s="1314"/>
      <c r="L50" s="1549"/>
    </row>
    <row r="51" spans="1:12" s="1461" customFormat="1">
      <c r="A51" s="1459" t="s">
        <v>537</v>
      </c>
      <c r="B51" s="1314"/>
      <c r="L51" s="1549"/>
    </row>
    <row r="52" spans="1:12">
      <c r="L52" s="1126"/>
    </row>
    <row r="53" spans="1:12">
      <c r="L53" s="1126"/>
    </row>
    <row r="54" spans="1:12">
      <c r="L54" s="1126"/>
    </row>
  </sheetData>
  <mergeCells count="2">
    <mergeCell ref="F2:H2"/>
    <mergeCell ref="I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66"/>
  <sheetViews>
    <sheetView workbookViewId="0"/>
  </sheetViews>
  <sheetFormatPr defaultRowHeight="15"/>
  <cols>
    <col min="1" max="1" width="37.140625" customWidth="1"/>
    <col min="2" max="2" width="4.140625" customWidth="1"/>
  </cols>
  <sheetData>
    <row r="1" spans="1:12">
      <c r="A1" s="378" t="s">
        <v>360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</row>
    <row r="2" spans="1:12">
      <c r="A2" s="439" t="s">
        <v>0</v>
      </c>
      <c r="B2" s="440" t="s">
        <v>67</v>
      </c>
      <c r="C2" s="379" t="s">
        <v>1</v>
      </c>
      <c r="D2" s="417" t="s">
        <v>2</v>
      </c>
      <c r="E2" s="377" t="s">
        <v>3</v>
      </c>
      <c r="F2" s="1422" t="s">
        <v>4</v>
      </c>
      <c r="G2" s="1423"/>
      <c r="H2" s="1423"/>
      <c r="I2" s="1424"/>
      <c r="J2" s="1419" t="s">
        <v>5</v>
      </c>
      <c r="K2" s="1420"/>
      <c r="L2" s="1421"/>
    </row>
    <row r="3" spans="1:12" ht="25.5">
      <c r="A3" s="384" t="s">
        <v>68</v>
      </c>
      <c r="B3" s="441"/>
      <c r="C3" s="407" t="s">
        <v>7</v>
      </c>
      <c r="D3" s="427" t="s">
        <v>7</v>
      </c>
      <c r="E3" s="408" t="s">
        <v>7</v>
      </c>
      <c r="F3" s="401" t="s">
        <v>8</v>
      </c>
      <c r="G3" s="407" t="s">
        <v>9</v>
      </c>
      <c r="H3" s="406" t="s">
        <v>10</v>
      </c>
      <c r="I3" s="464" t="s">
        <v>11</v>
      </c>
      <c r="J3" s="406" t="s">
        <v>12</v>
      </c>
      <c r="K3" s="407" t="s">
        <v>13</v>
      </c>
      <c r="L3" s="408" t="s">
        <v>14</v>
      </c>
    </row>
    <row r="4" spans="1:12">
      <c r="A4" s="449"/>
      <c r="B4" s="450"/>
      <c r="C4" s="381"/>
      <c r="D4" s="447"/>
      <c r="E4" s="382"/>
      <c r="F4" s="380"/>
      <c r="G4" s="381"/>
      <c r="H4" s="383"/>
      <c r="I4" s="416"/>
      <c r="J4" s="383"/>
      <c r="K4" s="381"/>
      <c r="L4" s="382"/>
    </row>
    <row r="5" spans="1:12">
      <c r="A5" s="393" t="s">
        <v>361</v>
      </c>
      <c r="B5" s="442"/>
      <c r="C5" s="386"/>
      <c r="D5" s="386"/>
      <c r="E5" s="387"/>
      <c r="F5" s="388"/>
      <c r="G5" s="386"/>
      <c r="H5" s="458"/>
      <c r="I5" s="414"/>
      <c r="J5" s="385"/>
      <c r="K5" s="386"/>
      <c r="L5" s="387"/>
    </row>
    <row r="6" spans="1:12">
      <c r="A6" s="437" t="s">
        <v>362</v>
      </c>
      <c r="B6" s="442">
        <v>1</v>
      </c>
      <c r="C6" s="430"/>
      <c r="D6" s="430"/>
      <c r="E6" s="432"/>
      <c r="F6" s="433"/>
      <c r="G6" s="430"/>
      <c r="H6" s="431"/>
      <c r="I6" s="435"/>
      <c r="J6" s="434"/>
      <c r="K6" s="430"/>
      <c r="L6" s="432"/>
    </row>
    <row r="7" spans="1:12">
      <c r="A7" s="438"/>
      <c r="B7" s="442"/>
      <c r="C7" s="430"/>
      <c r="D7" s="430"/>
      <c r="E7" s="432"/>
      <c r="F7" s="433"/>
      <c r="G7" s="430"/>
      <c r="H7" s="431"/>
      <c r="I7" s="435"/>
      <c r="J7" s="434"/>
      <c r="K7" s="430"/>
      <c r="L7" s="432"/>
    </row>
    <row r="8" spans="1:12">
      <c r="A8" s="438"/>
      <c r="B8" s="442"/>
      <c r="C8" s="430"/>
      <c r="D8" s="430"/>
      <c r="E8" s="432"/>
      <c r="F8" s="433"/>
      <c r="G8" s="430"/>
      <c r="H8" s="431"/>
      <c r="I8" s="435"/>
      <c r="J8" s="434"/>
      <c r="K8" s="430"/>
      <c r="L8" s="432"/>
    </row>
    <row r="9" spans="1:12">
      <c r="A9" s="418" t="s">
        <v>363</v>
      </c>
      <c r="B9" s="443"/>
      <c r="C9" s="398">
        <v>0</v>
      </c>
      <c r="D9" s="398">
        <v>0</v>
      </c>
      <c r="E9" s="399">
        <v>0</v>
      </c>
      <c r="F9" s="400">
        <v>0</v>
      </c>
      <c r="G9" s="398">
        <v>0</v>
      </c>
      <c r="H9" s="459">
        <v>0</v>
      </c>
      <c r="I9" s="465">
        <v>0</v>
      </c>
      <c r="J9" s="397">
        <v>0</v>
      </c>
      <c r="K9" s="398">
        <v>0</v>
      </c>
      <c r="L9" s="399">
        <v>0</v>
      </c>
    </row>
    <row r="10" spans="1:12">
      <c r="A10" s="396"/>
      <c r="B10" s="442"/>
      <c r="C10" s="386"/>
      <c r="D10" s="386"/>
      <c r="E10" s="387"/>
      <c r="F10" s="388"/>
      <c r="G10" s="386"/>
      <c r="H10" s="458"/>
      <c r="I10" s="414"/>
      <c r="J10" s="385"/>
      <c r="K10" s="386"/>
      <c r="L10" s="387"/>
    </row>
    <row r="11" spans="1:12">
      <c r="A11" s="419" t="s">
        <v>364</v>
      </c>
      <c r="B11" s="444"/>
      <c r="C11" s="389"/>
      <c r="D11" s="389"/>
      <c r="E11" s="395"/>
      <c r="F11" s="394"/>
      <c r="G11" s="389"/>
      <c r="H11" s="413"/>
      <c r="I11" s="428"/>
      <c r="J11" s="390"/>
      <c r="K11" s="389"/>
      <c r="L11" s="395"/>
    </row>
    <row r="12" spans="1:12">
      <c r="A12" s="437" t="s">
        <v>362</v>
      </c>
      <c r="B12" s="444">
        <v>2</v>
      </c>
      <c r="C12" s="430"/>
      <c r="D12" s="430"/>
      <c r="E12" s="432"/>
      <c r="F12" s="433"/>
      <c r="G12" s="430"/>
      <c r="H12" s="431"/>
      <c r="I12" s="435"/>
      <c r="J12" s="434"/>
      <c r="K12" s="430"/>
      <c r="L12" s="432"/>
    </row>
    <row r="13" spans="1:12">
      <c r="A13" s="436"/>
      <c r="B13" s="444"/>
      <c r="C13" s="430"/>
      <c r="D13" s="430"/>
      <c r="E13" s="432"/>
      <c r="F13" s="433"/>
      <c r="G13" s="430"/>
      <c r="H13" s="431"/>
      <c r="I13" s="435"/>
      <c r="J13" s="434"/>
      <c r="K13" s="430"/>
      <c r="L13" s="432"/>
    </row>
    <row r="14" spans="1:12">
      <c r="A14" s="436"/>
      <c r="B14" s="444"/>
      <c r="C14" s="430"/>
      <c r="D14" s="430"/>
      <c r="E14" s="432"/>
      <c r="F14" s="433"/>
      <c r="G14" s="430"/>
      <c r="H14" s="431"/>
      <c r="I14" s="435"/>
      <c r="J14" s="434"/>
      <c r="K14" s="430"/>
      <c r="L14" s="432"/>
    </row>
    <row r="15" spans="1:12">
      <c r="A15" s="420" t="s">
        <v>365</v>
      </c>
      <c r="B15" s="445"/>
      <c r="C15" s="421">
        <v>0</v>
      </c>
      <c r="D15" s="421">
        <v>0</v>
      </c>
      <c r="E15" s="422">
        <v>0</v>
      </c>
      <c r="F15" s="423">
        <v>0</v>
      </c>
      <c r="G15" s="421">
        <v>0</v>
      </c>
      <c r="H15" s="460">
        <v>0</v>
      </c>
      <c r="I15" s="466">
        <v>0</v>
      </c>
      <c r="J15" s="424">
        <v>0</v>
      </c>
      <c r="K15" s="421">
        <v>0</v>
      </c>
      <c r="L15" s="422">
        <v>0</v>
      </c>
    </row>
    <row r="16" spans="1:12">
      <c r="A16" s="415"/>
      <c r="B16" s="444"/>
      <c r="C16" s="409"/>
      <c r="D16" s="409"/>
      <c r="E16" s="402"/>
      <c r="F16" s="410"/>
      <c r="G16" s="409"/>
      <c r="H16" s="461"/>
      <c r="I16" s="467"/>
      <c r="J16" s="411"/>
      <c r="K16" s="409"/>
      <c r="L16" s="402"/>
    </row>
    <row r="17" spans="1:12">
      <c r="A17" s="419" t="s">
        <v>366</v>
      </c>
      <c r="B17" s="444"/>
      <c r="C17" s="389"/>
      <c r="D17" s="389"/>
      <c r="E17" s="395"/>
      <c r="F17" s="394"/>
      <c r="G17" s="389"/>
      <c r="H17" s="413"/>
      <c r="I17" s="428"/>
      <c r="J17" s="390"/>
      <c r="K17" s="389"/>
      <c r="L17" s="395"/>
    </row>
    <row r="18" spans="1:12">
      <c r="A18" s="437" t="s">
        <v>362</v>
      </c>
      <c r="B18" s="444">
        <v>3</v>
      </c>
      <c r="C18" s="430"/>
      <c r="D18" s="430"/>
      <c r="E18" s="432"/>
      <c r="F18" s="433"/>
      <c r="G18" s="430"/>
      <c r="H18" s="431"/>
      <c r="I18" s="435"/>
      <c r="J18" s="434"/>
      <c r="K18" s="430"/>
      <c r="L18" s="432"/>
    </row>
    <row r="19" spans="1:12">
      <c r="A19" s="436"/>
      <c r="B19" s="444"/>
      <c r="C19" s="430"/>
      <c r="D19" s="430"/>
      <c r="E19" s="432"/>
      <c r="F19" s="433"/>
      <c r="G19" s="430"/>
      <c r="H19" s="431"/>
      <c r="I19" s="435"/>
      <c r="J19" s="434"/>
      <c r="K19" s="430"/>
      <c r="L19" s="432"/>
    </row>
    <row r="20" spans="1:12">
      <c r="A20" s="436"/>
      <c r="B20" s="444"/>
      <c r="C20" s="430"/>
      <c r="D20" s="430"/>
      <c r="E20" s="432"/>
      <c r="F20" s="433"/>
      <c r="G20" s="430"/>
      <c r="H20" s="431"/>
      <c r="I20" s="435"/>
      <c r="J20" s="434"/>
      <c r="K20" s="430"/>
      <c r="L20" s="432"/>
    </row>
    <row r="21" spans="1:12">
      <c r="A21" s="420" t="s">
        <v>367</v>
      </c>
      <c r="B21" s="445"/>
      <c r="C21" s="421">
        <v>0</v>
      </c>
      <c r="D21" s="421">
        <v>0</v>
      </c>
      <c r="E21" s="422">
        <v>0</v>
      </c>
      <c r="F21" s="423">
        <v>0</v>
      </c>
      <c r="G21" s="421">
        <v>0</v>
      </c>
      <c r="H21" s="460">
        <v>0</v>
      </c>
      <c r="I21" s="466">
        <v>0</v>
      </c>
      <c r="J21" s="424">
        <v>0</v>
      </c>
      <c r="K21" s="421">
        <v>0</v>
      </c>
      <c r="L21" s="422">
        <v>0</v>
      </c>
    </row>
    <row r="22" spans="1:12">
      <c r="A22" s="415"/>
      <c r="B22" s="444"/>
      <c r="C22" s="409"/>
      <c r="D22" s="409"/>
      <c r="E22" s="402"/>
      <c r="F22" s="410"/>
      <c r="G22" s="409"/>
      <c r="H22" s="461"/>
      <c r="I22" s="467"/>
      <c r="J22" s="411"/>
      <c r="K22" s="409"/>
      <c r="L22" s="402"/>
    </row>
    <row r="23" spans="1:12">
      <c r="A23" s="419" t="s">
        <v>368</v>
      </c>
      <c r="B23" s="444"/>
      <c r="C23" s="389"/>
      <c r="D23" s="389"/>
      <c r="E23" s="395"/>
      <c r="F23" s="394"/>
      <c r="G23" s="389"/>
      <c r="H23" s="413"/>
      <c r="I23" s="428"/>
      <c r="J23" s="390"/>
      <c r="K23" s="389"/>
      <c r="L23" s="395"/>
    </row>
    <row r="24" spans="1:12">
      <c r="A24" s="437" t="s">
        <v>362</v>
      </c>
      <c r="B24" s="444">
        <v>4</v>
      </c>
      <c r="C24" s="430"/>
      <c r="D24" s="430"/>
      <c r="E24" s="432"/>
      <c r="F24" s="433"/>
      <c r="G24" s="430"/>
      <c r="H24" s="431"/>
      <c r="I24" s="435"/>
      <c r="J24" s="434"/>
      <c r="K24" s="430"/>
      <c r="L24" s="432"/>
    </row>
    <row r="25" spans="1:12">
      <c r="A25" s="436"/>
      <c r="B25" s="444"/>
      <c r="C25" s="430"/>
      <c r="D25" s="430"/>
      <c r="E25" s="432"/>
      <c r="F25" s="433"/>
      <c r="G25" s="430"/>
      <c r="H25" s="431"/>
      <c r="I25" s="435"/>
      <c r="J25" s="434"/>
      <c r="K25" s="430"/>
      <c r="L25" s="432"/>
    </row>
    <row r="26" spans="1:12">
      <c r="A26" s="436"/>
      <c r="B26" s="444"/>
      <c r="C26" s="430"/>
      <c r="D26" s="430"/>
      <c r="E26" s="432"/>
      <c r="F26" s="433"/>
      <c r="G26" s="430"/>
      <c r="H26" s="431"/>
      <c r="I26" s="435"/>
      <c r="J26" s="434"/>
      <c r="K26" s="430"/>
      <c r="L26" s="432"/>
    </row>
    <row r="27" spans="1:12">
      <c r="A27" s="429" t="s">
        <v>369</v>
      </c>
      <c r="B27" s="445"/>
      <c r="C27" s="421">
        <v>0</v>
      </c>
      <c r="D27" s="421">
        <v>0</v>
      </c>
      <c r="E27" s="422">
        <v>0</v>
      </c>
      <c r="F27" s="423">
        <v>0</v>
      </c>
      <c r="G27" s="421">
        <v>0</v>
      </c>
      <c r="H27" s="460">
        <v>0</v>
      </c>
      <c r="I27" s="466">
        <v>0</v>
      </c>
      <c r="J27" s="424">
        <v>0</v>
      </c>
      <c r="K27" s="421">
        <v>0</v>
      </c>
      <c r="L27" s="422">
        <v>0</v>
      </c>
    </row>
    <row r="28" spans="1:12">
      <c r="A28" s="448"/>
      <c r="B28" s="444"/>
      <c r="C28" s="409"/>
      <c r="D28" s="409"/>
      <c r="E28" s="402"/>
      <c r="F28" s="410"/>
      <c r="G28" s="409"/>
      <c r="H28" s="461"/>
      <c r="I28" s="467"/>
      <c r="J28" s="411"/>
      <c r="K28" s="409"/>
      <c r="L28" s="402"/>
    </row>
    <row r="29" spans="1:12">
      <c r="A29" s="419" t="s">
        <v>370</v>
      </c>
      <c r="B29" s="444"/>
      <c r="C29" s="389"/>
      <c r="D29" s="389"/>
      <c r="E29" s="395"/>
      <c r="F29" s="394"/>
      <c r="G29" s="389"/>
      <c r="H29" s="413"/>
      <c r="I29" s="428"/>
      <c r="J29" s="390"/>
      <c r="K29" s="389"/>
      <c r="L29" s="395"/>
    </row>
    <row r="30" spans="1:12">
      <c r="A30" s="437" t="s">
        <v>371</v>
      </c>
      <c r="B30" s="444">
        <v>5</v>
      </c>
      <c r="C30" s="430"/>
      <c r="D30" s="430"/>
      <c r="E30" s="432">
        <v>2857495</v>
      </c>
      <c r="F30" s="433">
        <v>2626800</v>
      </c>
      <c r="G30" s="433">
        <v>2892800</v>
      </c>
      <c r="H30" s="433">
        <v>2892800</v>
      </c>
      <c r="I30" s="435">
        <v>2892800</v>
      </c>
      <c r="J30" s="434">
        <v>3633628</v>
      </c>
      <c r="K30" s="434">
        <v>3826210.284</v>
      </c>
      <c r="L30" s="434">
        <v>4013694.5879159998</v>
      </c>
    </row>
    <row r="31" spans="1:12">
      <c r="A31" s="436"/>
      <c r="B31" s="444"/>
      <c r="C31" s="430"/>
      <c r="D31" s="430"/>
      <c r="E31" s="432"/>
      <c r="F31" s="433"/>
      <c r="G31" s="430"/>
      <c r="H31" s="431"/>
      <c r="I31" s="435"/>
      <c r="J31" s="434"/>
      <c r="K31" s="430"/>
      <c r="L31" s="432"/>
    </row>
    <row r="32" spans="1:12">
      <c r="A32" s="436"/>
      <c r="B32" s="444"/>
      <c r="C32" s="430"/>
      <c r="D32" s="430"/>
      <c r="E32" s="432"/>
      <c r="F32" s="433"/>
      <c r="G32" s="430"/>
      <c r="H32" s="431"/>
      <c r="I32" s="435"/>
      <c r="J32" s="434"/>
      <c r="K32" s="430"/>
      <c r="L32" s="432"/>
    </row>
    <row r="33" spans="1:16">
      <c r="A33" s="429" t="s">
        <v>372</v>
      </c>
      <c r="B33" s="445"/>
      <c r="C33" s="421">
        <v>0</v>
      </c>
      <c r="D33" s="421">
        <v>0</v>
      </c>
      <c r="E33" s="422">
        <v>2857495</v>
      </c>
      <c r="F33" s="423">
        <v>2626800</v>
      </c>
      <c r="G33" s="421">
        <v>2892800</v>
      </c>
      <c r="H33" s="460">
        <v>2892800</v>
      </c>
      <c r="I33" s="466">
        <v>2892800</v>
      </c>
      <c r="J33" s="424">
        <v>3633628</v>
      </c>
      <c r="K33" s="421">
        <v>3826210.284</v>
      </c>
      <c r="L33" s="422">
        <v>4013694.5879159998</v>
      </c>
      <c r="M33" s="376"/>
      <c r="N33" s="376"/>
      <c r="O33" s="376"/>
      <c r="P33" s="376"/>
    </row>
    <row r="34" spans="1:16">
      <c r="A34" s="425" t="s">
        <v>373</v>
      </c>
      <c r="B34" s="446">
        <v>6</v>
      </c>
      <c r="C34" s="392">
        <v>0</v>
      </c>
      <c r="D34" s="392">
        <v>0</v>
      </c>
      <c r="E34" s="403">
        <v>2857495</v>
      </c>
      <c r="F34" s="404">
        <v>2626800</v>
      </c>
      <c r="G34" s="392">
        <v>2892800</v>
      </c>
      <c r="H34" s="462">
        <v>2892800</v>
      </c>
      <c r="I34" s="468">
        <v>2892800</v>
      </c>
      <c r="J34" s="391">
        <v>3633628</v>
      </c>
      <c r="K34" s="392">
        <v>3826210.284</v>
      </c>
      <c r="L34" s="403">
        <v>4013694.5879159998</v>
      </c>
      <c r="M34" s="376"/>
      <c r="N34" s="376"/>
      <c r="O34" s="376"/>
      <c r="P34" s="376"/>
    </row>
    <row r="35" spans="1:16">
      <c r="A35" s="451"/>
      <c r="B35" s="452"/>
      <c r="C35" s="453"/>
      <c r="D35" s="453"/>
      <c r="E35" s="453"/>
      <c r="F35" s="453"/>
      <c r="G35" s="453"/>
      <c r="H35" s="453"/>
      <c r="I35" s="469"/>
      <c r="J35" s="453"/>
      <c r="K35" s="453"/>
      <c r="L35" s="453"/>
      <c r="M35" s="376"/>
      <c r="N35" s="376"/>
      <c r="O35" s="376"/>
      <c r="P35" s="376"/>
    </row>
    <row r="36" spans="1:16">
      <c r="A36" s="426" t="s">
        <v>374</v>
      </c>
      <c r="B36" s="454"/>
      <c r="C36" s="412"/>
      <c r="D36" s="412"/>
      <c r="E36" s="455"/>
      <c r="F36" s="456"/>
      <c r="G36" s="412"/>
      <c r="H36" s="463"/>
      <c r="I36" s="470"/>
      <c r="J36" s="457"/>
      <c r="K36" s="412"/>
      <c r="L36" s="455"/>
      <c r="M36" s="376"/>
      <c r="N36" s="376"/>
      <c r="O36" s="376"/>
      <c r="P36" s="376"/>
    </row>
    <row r="37" spans="1:16">
      <c r="A37" s="437" t="s">
        <v>362</v>
      </c>
      <c r="B37" s="442">
        <v>1</v>
      </c>
      <c r="C37" s="430"/>
      <c r="D37" s="430"/>
      <c r="E37" s="432"/>
      <c r="F37" s="433"/>
      <c r="G37" s="430"/>
      <c r="H37" s="431"/>
      <c r="I37" s="435"/>
      <c r="J37" s="434"/>
      <c r="K37" s="430"/>
      <c r="L37" s="432"/>
      <c r="M37" s="376"/>
      <c r="N37" s="376"/>
      <c r="O37" s="376"/>
      <c r="P37" s="376"/>
    </row>
    <row r="38" spans="1:16">
      <c r="A38" s="438"/>
      <c r="B38" s="442"/>
      <c r="C38" s="430"/>
      <c r="D38" s="430"/>
      <c r="E38" s="432"/>
      <c r="F38" s="433"/>
      <c r="G38" s="430"/>
      <c r="H38" s="431"/>
      <c r="I38" s="435"/>
      <c r="J38" s="434"/>
      <c r="K38" s="430"/>
      <c r="L38" s="432"/>
      <c r="M38" s="376"/>
      <c r="N38" s="376"/>
      <c r="O38" s="376"/>
      <c r="P38" s="405"/>
    </row>
    <row r="39" spans="1:16">
      <c r="A39" s="438"/>
      <c r="B39" s="442"/>
      <c r="C39" s="430"/>
      <c r="D39" s="430"/>
      <c r="E39" s="432"/>
      <c r="F39" s="433"/>
      <c r="G39" s="430"/>
      <c r="H39" s="431"/>
      <c r="I39" s="435"/>
      <c r="J39" s="434"/>
      <c r="K39" s="430"/>
      <c r="L39" s="432"/>
      <c r="M39" s="376"/>
      <c r="N39" s="376"/>
      <c r="O39" s="376"/>
      <c r="P39" s="376"/>
    </row>
    <row r="40" spans="1:16">
      <c r="A40" s="418" t="s">
        <v>375</v>
      </c>
      <c r="B40" s="443"/>
      <c r="C40" s="398">
        <v>0</v>
      </c>
      <c r="D40" s="398">
        <v>0</v>
      </c>
      <c r="E40" s="399">
        <v>0</v>
      </c>
      <c r="F40" s="400">
        <v>0</v>
      </c>
      <c r="G40" s="398">
        <v>0</v>
      </c>
      <c r="H40" s="459">
        <v>0</v>
      </c>
      <c r="I40" s="465">
        <v>0</v>
      </c>
      <c r="J40" s="397">
        <v>0</v>
      </c>
      <c r="K40" s="398">
        <v>0</v>
      </c>
      <c r="L40" s="399">
        <v>0</v>
      </c>
      <c r="M40" s="376"/>
      <c r="N40" s="376"/>
      <c r="O40" s="376"/>
      <c r="P40" s="376"/>
    </row>
    <row r="41" spans="1:16">
      <c r="A41" s="396"/>
      <c r="B41" s="442"/>
      <c r="C41" s="386"/>
      <c r="D41" s="386"/>
      <c r="E41" s="387"/>
      <c r="F41" s="388"/>
      <c r="G41" s="386"/>
      <c r="H41" s="458"/>
      <c r="I41" s="414"/>
      <c r="J41" s="385"/>
      <c r="K41" s="386"/>
      <c r="L41" s="387"/>
      <c r="M41" s="376"/>
      <c r="N41" s="376"/>
      <c r="O41" s="376"/>
      <c r="P41" s="376"/>
    </row>
    <row r="42" spans="1:16">
      <c r="A42" s="419" t="s">
        <v>376</v>
      </c>
      <c r="B42" s="444"/>
      <c r="C42" s="389"/>
      <c r="D42" s="389"/>
      <c r="E42" s="395"/>
      <c r="F42" s="394"/>
      <c r="G42" s="389"/>
      <c r="H42" s="413"/>
      <c r="I42" s="428"/>
      <c r="J42" s="390"/>
      <c r="K42" s="389"/>
      <c r="L42" s="395"/>
      <c r="M42" s="376"/>
      <c r="N42" s="376"/>
      <c r="O42" s="376"/>
      <c r="P42" s="376"/>
    </row>
    <row r="43" spans="1:16">
      <c r="A43" s="437" t="s">
        <v>362</v>
      </c>
      <c r="B43" s="444">
        <v>2</v>
      </c>
      <c r="C43" s="430"/>
      <c r="D43" s="430"/>
      <c r="E43" s="432"/>
      <c r="F43" s="433"/>
      <c r="G43" s="430"/>
      <c r="H43" s="431"/>
      <c r="I43" s="435"/>
      <c r="J43" s="434"/>
      <c r="K43" s="430"/>
      <c r="L43" s="432"/>
      <c r="M43" s="376"/>
      <c r="N43" s="376"/>
      <c r="O43" s="376"/>
      <c r="P43" s="376"/>
    </row>
    <row r="44" spans="1:16">
      <c r="A44" s="436"/>
      <c r="B44" s="444"/>
      <c r="C44" s="430"/>
      <c r="D44" s="430"/>
      <c r="E44" s="432"/>
      <c r="F44" s="433"/>
      <c r="G44" s="430"/>
      <c r="H44" s="431"/>
      <c r="I44" s="435"/>
      <c r="J44" s="434"/>
      <c r="K44" s="430"/>
      <c r="L44" s="432"/>
      <c r="M44" s="376"/>
      <c r="N44" s="376"/>
      <c r="O44" s="376"/>
      <c r="P44" s="376"/>
    </row>
    <row r="45" spans="1:16">
      <c r="A45" s="436"/>
      <c r="B45" s="444"/>
      <c r="C45" s="430"/>
      <c r="D45" s="430"/>
      <c r="E45" s="432"/>
      <c r="F45" s="433"/>
      <c r="G45" s="430"/>
      <c r="H45" s="431"/>
      <c r="I45" s="435"/>
      <c r="J45" s="434"/>
      <c r="K45" s="430"/>
      <c r="L45" s="432"/>
      <c r="M45" s="376"/>
      <c r="N45" s="376"/>
      <c r="O45" s="376"/>
      <c r="P45" s="376"/>
    </row>
    <row r="46" spans="1:16">
      <c r="A46" s="420" t="s">
        <v>377</v>
      </c>
      <c r="B46" s="445"/>
      <c r="C46" s="421">
        <v>0</v>
      </c>
      <c r="D46" s="421">
        <v>0</v>
      </c>
      <c r="E46" s="422">
        <v>0</v>
      </c>
      <c r="F46" s="423">
        <v>0</v>
      </c>
      <c r="G46" s="421">
        <v>0</v>
      </c>
      <c r="H46" s="460">
        <v>0</v>
      </c>
      <c r="I46" s="466">
        <v>0</v>
      </c>
      <c r="J46" s="424">
        <v>0</v>
      </c>
      <c r="K46" s="421">
        <v>0</v>
      </c>
      <c r="L46" s="422">
        <v>0</v>
      </c>
      <c r="M46" s="376"/>
      <c r="N46" s="376"/>
      <c r="O46" s="376"/>
      <c r="P46" s="376"/>
    </row>
    <row r="47" spans="1:16">
      <c r="A47" s="415"/>
      <c r="B47" s="444"/>
      <c r="C47" s="409"/>
      <c r="D47" s="409"/>
      <c r="E47" s="402"/>
      <c r="F47" s="410"/>
      <c r="G47" s="409"/>
      <c r="H47" s="461"/>
      <c r="I47" s="467"/>
      <c r="J47" s="411"/>
      <c r="K47" s="409"/>
      <c r="L47" s="402"/>
      <c r="M47" s="376"/>
      <c r="N47" s="376"/>
      <c r="O47" s="376"/>
      <c r="P47" s="376"/>
    </row>
    <row r="48" spans="1:16">
      <c r="A48" s="419" t="s">
        <v>378</v>
      </c>
      <c r="B48" s="444"/>
      <c r="C48" s="389"/>
      <c r="D48" s="389"/>
      <c r="E48" s="395"/>
      <c r="F48" s="394"/>
      <c r="G48" s="389"/>
      <c r="H48" s="413"/>
      <c r="I48" s="428"/>
      <c r="J48" s="390"/>
      <c r="K48" s="389"/>
      <c r="L48" s="395"/>
      <c r="M48" s="376"/>
      <c r="N48" s="376"/>
      <c r="O48" s="376"/>
      <c r="P48" s="376"/>
    </row>
    <row r="49" spans="1:12">
      <c r="A49" s="437" t="s">
        <v>362</v>
      </c>
      <c r="B49" s="444">
        <v>3</v>
      </c>
      <c r="C49" s="430"/>
      <c r="D49" s="430"/>
      <c r="E49" s="432"/>
      <c r="F49" s="433"/>
      <c r="G49" s="430"/>
      <c r="H49" s="431"/>
      <c r="I49" s="435"/>
      <c r="J49" s="434"/>
      <c r="K49" s="430"/>
      <c r="L49" s="432"/>
    </row>
    <row r="50" spans="1:12">
      <c r="A50" s="436"/>
      <c r="B50" s="444"/>
      <c r="C50" s="430"/>
      <c r="D50" s="430"/>
      <c r="E50" s="432"/>
      <c r="F50" s="433"/>
      <c r="G50" s="430"/>
      <c r="H50" s="431"/>
      <c r="I50" s="435"/>
      <c r="J50" s="434"/>
      <c r="K50" s="430"/>
      <c r="L50" s="432"/>
    </row>
    <row r="51" spans="1:12">
      <c r="A51" s="436"/>
      <c r="B51" s="444"/>
      <c r="C51" s="430"/>
      <c r="D51" s="430"/>
      <c r="E51" s="432"/>
      <c r="F51" s="433"/>
      <c r="G51" s="430"/>
      <c r="H51" s="431"/>
      <c r="I51" s="435"/>
      <c r="J51" s="434"/>
      <c r="K51" s="430"/>
      <c r="L51" s="432"/>
    </row>
    <row r="52" spans="1:12">
      <c r="A52" s="420" t="s">
        <v>379</v>
      </c>
      <c r="B52" s="445"/>
      <c r="C52" s="421">
        <v>0</v>
      </c>
      <c r="D52" s="421">
        <v>0</v>
      </c>
      <c r="E52" s="422">
        <v>0</v>
      </c>
      <c r="F52" s="423">
        <v>0</v>
      </c>
      <c r="G52" s="421">
        <v>0</v>
      </c>
      <c r="H52" s="460">
        <v>0</v>
      </c>
      <c r="I52" s="466">
        <v>0</v>
      </c>
      <c r="J52" s="424">
        <v>0</v>
      </c>
      <c r="K52" s="421">
        <v>0</v>
      </c>
      <c r="L52" s="422">
        <v>0</v>
      </c>
    </row>
    <row r="53" spans="1:12">
      <c r="A53" s="415"/>
      <c r="B53" s="444"/>
      <c r="C53" s="409"/>
      <c r="D53" s="409"/>
      <c r="E53" s="402"/>
      <c r="F53" s="410"/>
      <c r="G53" s="409"/>
      <c r="H53" s="461"/>
      <c r="I53" s="467"/>
      <c r="J53" s="411"/>
      <c r="K53" s="409"/>
      <c r="L53" s="402"/>
    </row>
    <row r="54" spans="1:12">
      <c r="A54" s="419" t="s">
        <v>380</v>
      </c>
      <c r="B54" s="444"/>
      <c r="C54" s="389"/>
      <c r="D54" s="389"/>
      <c r="E54" s="395"/>
      <c r="F54" s="394"/>
      <c r="G54" s="389"/>
      <c r="H54" s="413"/>
      <c r="I54" s="428"/>
      <c r="J54" s="390"/>
      <c r="K54" s="389"/>
      <c r="L54" s="395"/>
    </row>
    <row r="55" spans="1:12">
      <c r="A55" s="437" t="s">
        <v>362</v>
      </c>
      <c r="B55" s="444">
        <v>4</v>
      </c>
      <c r="C55" s="430"/>
      <c r="D55" s="430"/>
      <c r="E55" s="432"/>
      <c r="F55" s="433"/>
      <c r="G55" s="430"/>
      <c r="H55" s="431"/>
      <c r="I55" s="435"/>
      <c r="J55" s="434"/>
      <c r="K55" s="430"/>
      <c r="L55" s="432"/>
    </row>
    <row r="56" spans="1:12">
      <c r="A56" s="436"/>
      <c r="B56" s="444"/>
      <c r="C56" s="430"/>
      <c r="D56" s="430"/>
      <c r="E56" s="432"/>
      <c r="F56" s="433"/>
      <c r="G56" s="430"/>
      <c r="H56" s="431"/>
      <c r="I56" s="435"/>
      <c r="J56" s="434"/>
      <c r="K56" s="430"/>
      <c r="L56" s="432"/>
    </row>
    <row r="57" spans="1:12">
      <c r="A57" s="436"/>
      <c r="B57" s="444"/>
      <c r="C57" s="430"/>
      <c r="D57" s="430"/>
      <c r="E57" s="432"/>
      <c r="F57" s="433"/>
      <c r="G57" s="430"/>
      <c r="H57" s="431"/>
      <c r="I57" s="435"/>
      <c r="J57" s="434"/>
      <c r="K57" s="430"/>
      <c r="L57" s="432"/>
    </row>
    <row r="58" spans="1:12">
      <c r="A58" s="429" t="s">
        <v>381</v>
      </c>
      <c r="B58" s="445"/>
      <c r="C58" s="421">
        <v>0</v>
      </c>
      <c r="D58" s="421">
        <v>0</v>
      </c>
      <c r="E58" s="422">
        <v>0</v>
      </c>
      <c r="F58" s="423">
        <v>0</v>
      </c>
      <c r="G58" s="421">
        <v>0</v>
      </c>
      <c r="H58" s="460">
        <v>0</v>
      </c>
      <c r="I58" s="466">
        <v>0</v>
      </c>
      <c r="J58" s="424">
        <v>0</v>
      </c>
      <c r="K58" s="421">
        <v>0</v>
      </c>
      <c r="L58" s="422">
        <v>0</v>
      </c>
    </row>
    <row r="59" spans="1:12">
      <c r="A59" s="448"/>
      <c r="B59" s="444"/>
      <c r="C59" s="409"/>
      <c r="D59" s="409"/>
      <c r="E59" s="402"/>
      <c r="F59" s="410"/>
      <c r="G59" s="409"/>
      <c r="H59" s="461"/>
      <c r="I59" s="467"/>
      <c r="J59" s="411"/>
      <c r="K59" s="409"/>
      <c r="L59" s="402"/>
    </row>
    <row r="60" spans="1:12">
      <c r="A60" s="419" t="s">
        <v>382</v>
      </c>
      <c r="B60" s="444"/>
      <c r="C60" s="389"/>
      <c r="D60" s="389"/>
      <c r="E60" s="395"/>
      <c r="F60" s="394"/>
      <c r="G60" s="389"/>
      <c r="H60" s="413"/>
      <c r="I60" s="428"/>
      <c r="J60" s="390"/>
      <c r="K60" s="389"/>
      <c r="L60" s="395"/>
    </row>
    <row r="61" spans="1:12">
      <c r="A61" s="437" t="s">
        <v>362</v>
      </c>
      <c r="B61" s="444">
        <v>5</v>
      </c>
      <c r="C61" s="430"/>
      <c r="D61" s="430"/>
      <c r="E61" s="432"/>
      <c r="F61" s="433"/>
      <c r="G61" s="430"/>
      <c r="H61" s="431"/>
      <c r="I61" s="435"/>
      <c r="J61" s="434"/>
      <c r="K61" s="430"/>
      <c r="L61" s="432"/>
    </row>
    <row r="62" spans="1:12">
      <c r="A62" s="436"/>
      <c r="B62" s="444"/>
      <c r="C62" s="430"/>
      <c r="D62" s="430"/>
      <c r="E62" s="432"/>
      <c r="F62" s="433"/>
      <c r="G62" s="430"/>
      <c r="H62" s="431"/>
      <c r="I62" s="435"/>
      <c r="J62" s="434"/>
      <c r="K62" s="430"/>
      <c r="L62" s="432"/>
    </row>
    <row r="63" spans="1:12">
      <c r="A63" s="436"/>
      <c r="B63" s="444"/>
      <c r="C63" s="430"/>
      <c r="D63" s="430"/>
      <c r="E63" s="432"/>
      <c r="F63" s="433"/>
      <c r="G63" s="430"/>
      <c r="H63" s="431"/>
      <c r="I63" s="435"/>
      <c r="J63" s="434"/>
      <c r="K63" s="430"/>
      <c r="L63" s="432"/>
    </row>
    <row r="64" spans="1:12">
      <c r="A64" s="429" t="s">
        <v>383</v>
      </c>
      <c r="B64" s="445"/>
      <c r="C64" s="421">
        <v>0</v>
      </c>
      <c r="D64" s="421">
        <v>0</v>
      </c>
      <c r="E64" s="422">
        <v>0</v>
      </c>
      <c r="F64" s="423">
        <v>0</v>
      </c>
      <c r="G64" s="421">
        <v>0</v>
      </c>
      <c r="H64" s="460">
        <v>0</v>
      </c>
      <c r="I64" s="466">
        <v>0</v>
      </c>
      <c r="J64" s="424">
        <v>0</v>
      </c>
      <c r="K64" s="421">
        <v>0</v>
      </c>
      <c r="L64" s="422">
        <v>0</v>
      </c>
    </row>
    <row r="65" spans="1:12">
      <c r="A65" s="425" t="s">
        <v>384</v>
      </c>
      <c r="B65" s="446"/>
      <c r="C65" s="392">
        <v>0</v>
      </c>
      <c r="D65" s="392">
        <v>0</v>
      </c>
      <c r="E65" s="403">
        <v>0</v>
      </c>
      <c r="F65" s="404">
        <v>0</v>
      </c>
      <c r="G65" s="392">
        <v>0</v>
      </c>
      <c r="H65" s="462">
        <v>0</v>
      </c>
      <c r="I65" s="468">
        <v>0</v>
      </c>
      <c r="J65" s="391">
        <v>0</v>
      </c>
      <c r="K65" s="392">
        <v>0</v>
      </c>
      <c r="L65" s="403">
        <v>0</v>
      </c>
    </row>
    <row r="66" spans="1:12">
      <c r="A66" s="425" t="s">
        <v>385</v>
      </c>
      <c r="B66" s="446">
        <v>6</v>
      </c>
      <c r="C66" s="392">
        <v>0</v>
      </c>
      <c r="D66" s="392">
        <v>0</v>
      </c>
      <c r="E66" s="403">
        <v>2857495</v>
      </c>
      <c r="F66" s="404">
        <v>2626800</v>
      </c>
      <c r="G66" s="392">
        <v>2892800</v>
      </c>
      <c r="H66" s="462">
        <v>2892800</v>
      </c>
      <c r="I66" s="468">
        <v>2892800</v>
      </c>
      <c r="J66" s="391">
        <v>3633628</v>
      </c>
      <c r="K66" s="392">
        <v>3826210.284</v>
      </c>
      <c r="L66" s="403">
        <v>4013694.5879159998</v>
      </c>
    </row>
  </sheetData>
  <mergeCells count="2">
    <mergeCell ref="J2:L2"/>
    <mergeCell ref="F2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97"/>
  <sheetViews>
    <sheetView workbookViewId="0"/>
  </sheetViews>
  <sheetFormatPr defaultRowHeight="15"/>
  <cols>
    <col min="1" max="1" width="40.5703125" customWidth="1"/>
    <col min="2" max="2" width="3.7109375" customWidth="1"/>
  </cols>
  <sheetData>
    <row r="1" spans="1:12">
      <c r="A1" s="473" t="s">
        <v>386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1"/>
    </row>
    <row r="2" spans="1:12">
      <c r="A2" s="520" t="s">
        <v>0</v>
      </c>
      <c r="B2" s="514" t="s">
        <v>67</v>
      </c>
      <c r="C2" s="474" t="s">
        <v>1</v>
      </c>
      <c r="D2" s="517" t="s">
        <v>2</v>
      </c>
      <c r="E2" s="472" t="s">
        <v>3</v>
      </c>
      <c r="F2" s="1422" t="s">
        <v>4</v>
      </c>
      <c r="G2" s="1423"/>
      <c r="H2" s="1423"/>
      <c r="I2" s="1419" t="s">
        <v>5</v>
      </c>
      <c r="J2" s="1420"/>
      <c r="K2" s="1421"/>
      <c r="L2" s="471"/>
    </row>
    <row r="3" spans="1:12" ht="25.5">
      <c r="A3" s="475" t="s">
        <v>68</v>
      </c>
      <c r="B3" s="521">
        <v>1</v>
      </c>
      <c r="C3" s="509" t="s">
        <v>7</v>
      </c>
      <c r="D3" s="522" t="s">
        <v>7</v>
      </c>
      <c r="E3" s="510" t="s">
        <v>7</v>
      </c>
      <c r="F3" s="496" t="s">
        <v>8</v>
      </c>
      <c r="G3" s="509" t="s">
        <v>9</v>
      </c>
      <c r="H3" s="508" t="s">
        <v>10</v>
      </c>
      <c r="I3" s="496" t="s">
        <v>12</v>
      </c>
      <c r="J3" s="509" t="s">
        <v>13</v>
      </c>
      <c r="K3" s="510" t="s">
        <v>14</v>
      </c>
      <c r="L3" s="471"/>
    </row>
    <row r="4" spans="1:12">
      <c r="A4" s="519" t="s">
        <v>387</v>
      </c>
      <c r="B4" s="516"/>
      <c r="C4" s="530"/>
      <c r="D4" s="497"/>
      <c r="E4" s="500"/>
      <c r="F4" s="499"/>
      <c r="G4" s="497"/>
      <c r="H4" s="498"/>
      <c r="I4" s="499"/>
      <c r="J4" s="497"/>
      <c r="K4" s="500"/>
      <c r="L4" s="507"/>
    </row>
    <row r="5" spans="1:12">
      <c r="A5" s="491"/>
      <c r="B5" s="476"/>
      <c r="C5" s="501"/>
      <c r="D5" s="501"/>
      <c r="E5" s="504"/>
      <c r="F5" s="503"/>
      <c r="G5" s="501"/>
      <c r="H5" s="502"/>
      <c r="I5" s="503"/>
      <c r="J5" s="501"/>
      <c r="K5" s="504"/>
      <c r="L5" s="507"/>
    </row>
    <row r="6" spans="1:12">
      <c r="A6" s="491" t="s">
        <v>247</v>
      </c>
      <c r="B6" s="476"/>
      <c r="C6" s="511">
        <v>16558880.34</v>
      </c>
      <c r="D6" s="511">
        <v>19161031.819999997</v>
      </c>
      <c r="E6" s="505">
        <v>23015556.169999998</v>
      </c>
      <c r="F6" s="512">
        <v>1225000</v>
      </c>
      <c r="G6" s="511">
        <v>1225000</v>
      </c>
      <c r="H6" s="513">
        <v>1225000</v>
      </c>
      <c r="I6" s="512">
        <v>20476050</v>
      </c>
      <c r="J6" s="511">
        <v>9289950</v>
      </c>
      <c r="K6" s="505">
        <v>4620000</v>
      </c>
      <c r="L6" s="543"/>
    </row>
    <row r="7" spans="1:12">
      <c r="A7" s="492" t="s">
        <v>388</v>
      </c>
      <c r="B7" s="476"/>
      <c r="C7" s="531">
        <v>0</v>
      </c>
      <c r="D7" s="531">
        <v>0</v>
      </c>
      <c r="E7" s="539">
        <v>0</v>
      </c>
      <c r="F7" s="532">
        <v>0</v>
      </c>
      <c r="G7" s="531">
        <v>0</v>
      </c>
      <c r="H7" s="533">
        <v>0</v>
      </c>
      <c r="I7" s="540">
        <v>0</v>
      </c>
      <c r="J7" s="531">
        <v>0</v>
      </c>
      <c r="K7" s="533">
        <v>0</v>
      </c>
      <c r="L7" s="507"/>
    </row>
    <row r="8" spans="1:12">
      <c r="A8" s="535" t="s">
        <v>389</v>
      </c>
      <c r="B8" s="476"/>
      <c r="C8" s="551"/>
      <c r="D8" s="551"/>
      <c r="E8" s="558"/>
      <c r="F8" s="559"/>
      <c r="G8" s="551"/>
      <c r="H8" s="560"/>
      <c r="I8" s="559"/>
      <c r="J8" s="559"/>
      <c r="K8" s="559"/>
      <c r="L8" s="543"/>
    </row>
    <row r="9" spans="1:12">
      <c r="A9" s="535" t="s">
        <v>390</v>
      </c>
      <c r="B9" s="476"/>
      <c r="C9" s="551"/>
      <c r="D9" s="551"/>
      <c r="E9" s="558"/>
      <c r="F9" s="559"/>
      <c r="G9" s="551"/>
      <c r="H9" s="560"/>
      <c r="I9" s="559"/>
      <c r="J9" s="551"/>
      <c r="K9" s="558"/>
      <c r="L9" s="544"/>
    </row>
    <row r="10" spans="1:12">
      <c r="A10" s="492" t="s">
        <v>391</v>
      </c>
      <c r="B10" s="476"/>
      <c r="C10" s="525">
        <v>0</v>
      </c>
      <c r="D10" s="525">
        <v>0</v>
      </c>
      <c r="E10" s="541">
        <v>0</v>
      </c>
      <c r="F10" s="529">
        <v>0</v>
      </c>
      <c r="G10" s="525">
        <v>0</v>
      </c>
      <c r="H10" s="534">
        <v>0</v>
      </c>
      <c r="I10" s="542">
        <v>0</v>
      </c>
      <c r="J10" s="525">
        <v>0</v>
      </c>
      <c r="K10" s="534">
        <v>4620000</v>
      </c>
      <c r="L10" s="544"/>
    </row>
    <row r="11" spans="1:12">
      <c r="A11" s="535" t="s">
        <v>392</v>
      </c>
      <c r="B11" s="476"/>
      <c r="C11" s="551"/>
      <c r="D11" s="551"/>
      <c r="E11" s="552"/>
      <c r="F11" s="553"/>
      <c r="G11" s="551"/>
      <c r="H11" s="554"/>
      <c r="I11" s="555"/>
      <c r="J11" s="551"/>
      <c r="K11" s="554"/>
      <c r="L11" s="544"/>
    </row>
    <row r="12" spans="1:12">
      <c r="A12" s="535" t="s">
        <v>393</v>
      </c>
      <c r="B12" s="476"/>
      <c r="C12" s="551"/>
      <c r="D12" s="551"/>
      <c r="E12" s="552"/>
      <c r="F12" s="553"/>
      <c r="G12" s="551"/>
      <c r="H12" s="554"/>
      <c r="I12" s="555"/>
      <c r="J12" s="551"/>
      <c r="K12" s="554"/>
      <c r="L12" s="544"/>
    </row>
    <row r="13" spans="1:12">
      <c r="A13" s="535" t="s">
        <v>78</v>
      </c>
      <c r="B13" s="476"/>
      <c r="C13" s="551"/>
      <c r="D13" s="551"/>
      <c r="E13" s="552"/>
      <c r="F13" s="553"/>
      <c r="G13" s="551"/>
      <c r="H13" s="554"/>
      <c r="I13" s="555"/>
      <c r="J13" s="555"/>
      <c r="K13" s="555">
        <v>4620000</v>
      </c>
      <c r="L13" s="544"/>
    </row>
    <row r="14" spans="1:12">
      <c r="A14" s="493" t="s">
        <v>394</v>
      </c>
      <c r="B14" s="506"/>
      <c r="C14" s="525">
        <v>6169372.620000001</v>
      </c>
      <c r="D14" s="525">
        <v>8774384.3200000003</v>
      </c>
      <c r="E14" s="541">
        <v>15104318.27</v>
      </c>
      <c r="F14" s="529">
        <v>500000</v>
      </c>
      <c r="G14" s="525">
        <v>500000</v>
      </c>
      <c r="H14" s="534">
        <v>500000</v>
      </c>
      <c r="I14" s="542">
        <v>18976050</v>
      </c>
      <c r="J14" s="525">
        <v>7989950</v>
      </c>
      <c r="K14" s="534">
        <v>0</v>
      </c>
      <c r="L14" s="544"/>
    </row>
    <row r="15" spans="1:12">
      <c r="A15" s="535" t="s">
        <v>395</v>
      </c>
      <c r="B15" s="476"/>
      <c r="C15" s="551"/>
      <c r="D15" s="551"/>
      <c r="E15" s="552"/>
      <c r="F15" s="553"/>
      <c r="G15" s="551"/>
      <c r="H15" s="554"/>
      <c r="I15" s="555">
        <v>18976050</v>
      </c>
      <c r="J15" s="555">
        <v>7989950</v>
      </c>
      <c r="K15" s="555">
        <v>0</v>
      </c>
      <c r="L15" s="544"/>
    </row>
    <row r="16" spans="1:12">
      <c r="A16" s="535" t="s">
        <v>396</v>
      </c>
      <c r="B16" s="476"/>
      <c r="C16" s="551">
        <v>6169372.620000001</v>
      </c>
      <c r="D16" s="552">
        <v>8774384.3200000003</v>
      </c>
      <c r="E16" s="552">
        <v>15104318.27</v>
      </c>
      <c r="F16" s="553"/>
      <c r="G16" s="551"/>
      <c r="H16" s="554"/>
      <c r="I16" s="555"/>
      <c r="J16" s="551"/>
      <c r="K16" s="554"/>
      <c r="L16" s="544"/>
    </row>
    <row r="17" spans="1:12">
      <c r="A17" s="535" t="s">
        <v>397</v>
      </c>
      <c r="B17" s="476"/>
      <c r="C17" s="551"/>
      <c r="D17" s="551"/>
      <c r="E17" s="552"/>
      <c r="F17" s="523">
        <v>500000</v>
      </c>
      <c r="G17" s="551">
        <v>500000</v>
      </c>
      <c r="H17" s="554">
        <v>500000</v>
      </c>
      <c r="I17" s="555"/>
      <c r="J17" s="551"/>
      <c r="K17" s="554"/>
      <c r="L17" s="544"/>
    </row>
    <row r="18" spans="1:12">
      <c r="A18" s="493" t="s">
        <v>398</v>
      </c>
      <c r="B18" s="476"/>
      <c r="C18" s="525">
        <v>10389507.719999999</v>
      </c>
      <c r="D18" s="525">
        <v>10386647.499999996</v>
      </c>
      <c r="E18" s="541">
        <v>7911237.8999999985</v>
      </c>
      <c r="F18" s="529">
        <v>725000</v>
      </c>
      <c r="G18" s="525">
        <v>725000</v>
      </c>
      <c r="H18" s="534">
        <v>725000</v>
      </c>
      <c r="I18" s="542">
        <v>1500000</v>
      </c>
      <c r="J18" s="525">
        <v>1300000</v>
      </c>
      <c r="K18" s="534">
        <v>0</v>
      </c>
      <c r="L18" s="544"/>
    </row>
    <row r="19" spans="1:12">
      <c r="A19" s="535" t="s">
        <v>397</v>
      </c>
      <c r="B19" s="476"/>
      <c r="C19" s="551"/>
      <c r="D19" s="551"/>
      <c r="E19" s="552"/>
      <c r="F19" s="523">
        <v>725000</v>
      </c>
      <c r="G19" s="551">
        <v>725000</v>
      </c>
      <c r="H19" s="554">
        <v>725000</v>
      </c>
      <c r="I19" s="555"/>
      <c r="J19" s="551"/>
      <c r="K19" s="554"/>
      <c r="L19" s="544"/>
    </row>
    <row r="20" spans="1:12">
      <c r="A20" s="535" t="s">
        <v>399</v>
      </c>
      <c r="B20" s="476"/>
      <c r="C20" s="551">
        <v>10389507.719999999</v>
      </c>
      <c r="D20" s="552">
        <v>10386647.499999996</v>
      </c>
      <c r="E20" s="552">
        <v>7911237.8999999985</v>
      </c>
      <c r="F20" s="553"/>
      <c r="G20" s="551"/>
      <c r="H20" s="554"/>
      <c r="I20" s="555">
        <v>1500000</v>
      </c>
      <c r="J20" s="555">
        <v>1300000</v>
      </c>
      <c r="K20" s="555">
        <v>0</v>
      </c>
      <c r="L20" s="544"/>
    </row>
    <row r="21" spans="1:12">
      <c r="A21" s="492" t="s">
        <v>400</v>
      </c>
      <c r="B21" s="476"/>
      <c r="C21" s="525">
        <v>0</v>
      </c>
      <c r="D21" s="525">
        <v>0</v>
      </c>
      <c r="E21" s="525">
        <v>0</v>
      </c>
      <c r="F21" s="529">
        <v>0</v>
      </c>
      <c r="G21" s="525">
        <v>0</v>
      </c>
      <c r="H21" s="534">
        <v>0</v>
      </c>
      <c r="I21" s="542">
        <v>0</v>
      </c>
      <c r="J21" s="525">
        <v>0</v>
      </c>
      <c r="K21" s="534">
        <v>0</v>
      </c>
      <c r="L21" s="544"/>
    </row>
    <row r="22" spans="1:12">
      <c r="A22" s="535" t="s">
        <v>401</v>
      </c>
      <c r="B22" s="476"/>
      <c r="C22" s="551"/>
      <c r="D22" s="551"/>
      <c r="E22" s="560"/>
      <c r="F22" s="559"/>
      <c r="G22" s="551"/>
      <c r="H22" s="560"/>
      <c r="I22" s="559"/>
      <c r="J22" s="551"/>
      <c r="K22" s="554"/>
      <c r="L22" s="543"/>
    </row>
    <row r="23" spans="1:12">
      <c r="A23" s="535" t="s">
        <v>402</v>
      </c>
      <c r="B23" s="476">
        <v>2</v>
      </c>
      <c r="C23" s="551"/>
      <c r="D23" s="551"/>
      <c r="E23" s="558"/>
      <c r="F23" s="559"/>
      <c r="G23" s="551"/>
      <c r="H23" s="560"/>
      <c r="I23" s="559"/>
      <c r="J23" s="551"/>
      <c r="K23" s="554"/>
      <c r="L23" s="544"/>
    </row>
    <row r="24" spans="1:12">
      <c r="A24" s="535" t="s">
        <v>403</v>
      </c>
      <c r="B24" s="476"/>
      <c r="C24" s="551"/>
      <c r="D24" s="551"/>
      <c r="E24" s="558"/>
      <c r="F24" s="559"/>
      <c r="G24" s="551"/>
      <c r="H24" s="560"/>
      <c r="I24" s="559"/>
      <c r="J24" s="551"/>
      <c r="K24" s="558"/>
      <c r="L24" s="544"/>
    </row>
    <row r="25" spans="1:12">
      <c r="A25" s="535" t="s">
        <v>79</v>
      </c>
      <c r="B25" s="476">
        <v>3</v>
      </c>
      <c r="C25" s="551"/>
      <c r="D25" s="551"/>
      <c r="E25" s="558"/>
      <c r="F25" s="559"/>
      <c r="G25" s="551"/>
      <c r="H25" s="560"/>
      <c r="I25" s="559"/>
      <c r="J25" s="551"/>
      <c r="K25" s="558"/>
      <c r="L25" s="544"/>
    </row>
    <row r="26" spans="1:12">
      <c r="A26" s="494"/>
      <c r="B26" s="476"/>
      <c r="C26" s="479"/>
      <c r="D26" s="479"/>
      <c r="E26" s="480"/>
      <c r="F26" s="481"/>
      <c r="G26" s="479"/>
      <c r="H26" s="478"/>
      <c r="I26" s="481"/>
      <c r="J26" s="479"/>
      <c r="K26" s="480"/>
      <c r="L26" s="507"/>
    </row>
    <row r="27" spans="1:12">
      <c r="A27" s="491" t="s">
        <v>248</v>
      </c>
      <c r="B27" s="476"/>
      <c r="C27" s="483">
        <v>0</v>
      </c>
      <c r="D27" s="483">
        <v>4006100</v>
      </c>
      <c r="E27" s="484">
        <v>0</v>
      </c>
      <c r="F27" s="485">
        <v>0</v>
      </c>
      <c r="G27" s="483">
        <v>0</v>
      </c>
      <c r="H27" s="482">
        <v>0</v>
      </c>
      <c r="I27" s="485">
        <v>910720</v>
      </c>
      <c r="J27" s="483">
        <v>0</v>
      </c>
      <c r="K27" s="484">
        <v>0</v>
      </c>
      <c r="L27" s="507"/>
    </row>
    <row r="28" spans="1:12">
      <c r="A28" s="492" t="s">
        <v>404</v>
      </c>
      <c r="B28" s="476"/>
      <c r="C28" s="556"/>
      <c r="D28" s="556"/>
      <c r="E28" s="568"/>
      <c r="F28" s="571"/>
      <c r="G28" s="556"/>
      <c r="H28" s="572"/>
      <c r="I28" s="571"/>
      <c r="J28" s="556"/>
      <c r="K28" s="568"/>
      <c r="L28" s="544"/>
    </row>
    <row r="29" spans="1:12">
      <c r="A29" s="492" t="s">
        <v>405</v>
      </c>
      <c r="B29" s="476"/>
      <c r="C29" s="551"/>
      <c r="D29" s="551"/>
      <c r="E29" s="558"/>
      <c r="F29" s="559"/>
      <c r="G29" s="551"/>
      <c r="H29" s="560"/>
      <c r="I29" s="559"/>
      <c r="J29" s="559"/>
      <c r="K29" s="559"/>
      <c r="L29" s="544"/>
    </row>
    <row r="30" spans="1:12">
      <c r="A30" s="492" t="s">
        <v>406</v>
      </c>
      <c r="B30" s="476"/>
      <c r="C30" s="551"/>
      <c r="D30" s="551"/>
      <c r="E30" s="558"/>
      <c r="F30" s="559"/>
      <c r="G30" s="551"/>
      <c r="H30" s="560"/>
      <c r="I30" s="559"/>
      <c r="J30" s="559"/>
      <c r="K30" s="559"/>
      <c r="L30" s="544"/>
    </row>
    <row r="31" spans="1:12">
      <c r="A31" s="492" t="s">
        <v>407</v>
      </c>
      <c r="B31" s="476"/>
      <c r="C31" s="551"/>
      <c r="D31" s="551"/>
      <c r="E31" s="558"/>
      <c r="F31" s="559"/>
      <c r="G31" s="551"/>
      <c r="H31" s="560"/>
      <c r="I31" s="559"/>
      <c r="J31" s="559"/>
      <c r="K31" s="559"/>
      <c r="L31" s="544"/>
    </row>
    <row r="32" spans="1:12">
      <c r="A32" s="492" t="s">
        <v>408</v>
      </c>
      <c r="B32" s="476"/>
      <c r="C32" s="551"/>
      <c r="D32" s="551"/>
      <c r="E32" s="558"/>
      <c r="F32" s="559"/>
      <c r="G32" s="551"/>
      <c r="H32" s="560"/>
      <c r="I32" s="559">
        <v>45720</v>
      </c>
      <c r="J32" s="559"/>
      <c r="K32" s="559"/>
      <c r="L32" s="544"/>
    </row>
    <row r="33" spans="1:15">
      <c r="A33" s="492" t="s">
        <v>409</v>
      </c>
      <c r="B33" s="476"/>
      <c r="C33" s="551"/>
      <c r="D33" s="551"/>
      <c r="E33" s="558"/>
      <c r="F33" s="559"/>
      <c r="G33" s="551"/>
      <c r="H33" s="560"/>
      <c r="I33" s="559"/>
      <c r="J33" s="559"/>
      <c r="K33" s="559"/>
      <c r="L33" s="544"/>
      <c r="M33" s="471"/>
      <c r="N33" s="471"/>
      <c r="O33" s="471"/>
    </row>
    <row r="34" spans="1:15">
      <c r="A34" s="492" t="s">
        <v>410</v>
      </c>
      <c r="B34" s="476"/>
      <c r="C34" s="551"/>
      <c r="D34" s="558">
        <v>3356100</v>
      </c>
      <c r="E34" s="558"/>
      <c r="F34" s="559"/>
      <c r="G34" s="551"/>
      <c r="H34" s="560"/>
      <c r="I34" s="559"/>
      <c r="J34" s="559"/>
      <c r="K34" s="559"/>
      <c r="L34" s="544"/>
      <c r="M34" s="471"/>
      <c r="N34" s="471"/>
      <c r="O34" s="471"/>
    </row>
    <row r="35" spans="1:15">
      <c r="A35" s="492" t="s">
        <v>411</v>
      </c>
      <c r="B35" s="476"/>
      <c r="C35" s="551"/>
      <c r="D35" s="558">
        <v>650000</v>
      </c>
      <c r="E35" s="558"/>
      <c r="F35" s="559"/>
      <c r="G35" s="551"/>
      <c r="H35" s="560"/>
      <c r="I35" s="559"/>
      <c r="J35" s="559"/>
      <c r="K35" s="559"/>
      <c r="L35" s="544"/>
      <c r="M35" s="471"/>
      <c r="N35" s="471"/>
      <c r="O35" s="471"/>
    </row>
    <row r="36" spans="1:15">
      <c r="A36" s="492" t="s">
        <v>412</v>
      </c>
      <c r="B36" s="476">
        <v>7</v>
      </c>
      <c r="C36" s="551"/>
      <c r="D36" s="551"/>
      <c r="E36" s="558"/>
      <c r="F36" s="559"/>
      <c r="G36" s="551"/>
      <c r="H36" s="560"/>
      <c r="I36" s="559"/>
      <c r="J36" s="559"/>
      <c r="K36" s="559"/>
      <c r="L36" s="544"/>
      <c r="M36" s="471"/>
      <c r="N36" s="471"/>
      <c r="O36" s="471"/>
    </row>
    <row r="37" spans="1:15">
      <c r="A37" s="492" t="s">
        <v>82</v>
      </c>
      <c r="B37" s="476"/>
      <c r="C37" s="551"/>
      <c r="D37" s="551"/>
      <c r="E37" s="558"/>
      <c r="F37" s="559"/>
      <c r="G37" s="551"/>
      <c r="H37" s="560"/>
      <c r="I37" s="559"/>
      <c r="J37" s="559"/>
      <c r="K37" s="559"/>
      <c r="L37" s="544"/>
      <c r="M37" s="471"/>
      <c r="N37" s="471"/>
      <c r="O37" s="507"/>
    </row>
    <row r="38" spans="1:15">
      <c r="A38" s="492" t="s">
        <v>413</v>
      </c>
      <c r="B38" s="476"/>
      <c r="C38" s="551"/>
      <c r="D38" s="551"/>
      <c r="E38" s="558"/>
      <c r="F38" s="559"/>
      <c r="G38" s="551"/>
      <c r="H38" s="560"/>
      <c r="I38" s="559"/>
      <c r="J38" s="559"/>
      <c r="K38" s="559"/>
      <c r="L38" s="544"/>
      <c r="M38" s="471"/>
      <c r="N38" s="471"/>
      <c r="O38" s="471"/>
    </row>
    <row r="39" spans="1:15">
      <c r="A39" s="492" t="s">
        <v>414</v>
      </c>
      <c r="B39" s="476"/>
      <c r="C39" s="551"/>
      <c r="D39" s="551"/>
      <c r="E39" s="558"/>
      <c r="F39" s="559"/>
      <c r="G39" s="551"/>
      <c r="H39" s="560"/>
      <c r="I39" s="559"/>
      <c r="J39" s="559"/>
      <c r="K39" s="559"/>
      <c r="L39" s="544"/>
      <c r="M39" s="471"/>
      <c r="N39" s="471"/>
      <c r="O39" s="471"/>
    </row>
    <row r="40" spans="1:15">
      <c r="A40" s="492" t="s">
        <v>415</v>
      </c>
      <c r="B40" s="476">
        <v>8</v>
      </c>
      <c r="C40" s="551"/>
      <c r="D40" s="551"/>
      <c r="E40" s="558"/>
      <c r="F40" s="559"/>
      <c r="G40" s="551"/>
      <c r="H40" s="560"/>
      <c r="I40" s="559"/>
      <c r="J40" s="559"/>
      <c r="K40" s="559"/>
      <c r="L40" s="507"/>
      <c r="M40" s="471"/>
      <c r="N40" s="471"/>
      <c r="O40" s="471"/>
    </row>
    <row r="41" spans="1:15">
      <c r="A41" s="492" t="s">
        <v>79</v>
      </c>
      <c r="B41" s="476"/>
      <c r="C41" s="562"/>
      <c r="D41" s="562"/>
      <c r="E41" s="563"/>
      <c r="F41" s="564"/>
      <c r="G41" s="562"/>
      <c r="H41" s="565"/>
      <c r="I41" s="564">
        <v>865000</v>
      </c>
      <c r="J41" s="564"/>
      <c r="K41" s="564"/>
      <c r="L41" s="544"/>
      <c r="M41" s="471"/>
      <c r="N41" s="471"/>
      <c r="O41" s="471"/>
    </row>
    <row r="42" spans="1:15">
      <c r="A42" s="494"/>
      <c r="B42" s="476"/>
      <c r="C42" s="479"/>
      <c r="D42" s="479"/>
      <c r="E42" s="480"/>
      <c r="F42" s="481"/>
      <c r="G42" s="479"/>
      <c r="H42" s="478"/>
      <c r="I42" s="481"/>
      <c r="J42" s="479"/>
      <c r="K42" s="480"/>
      <c r="L42" s="507"/>
      <c r="M42" s="471"/>
      <c r="N42" s="471"/>
      <c r="O42" s="471"/>
    </row>
    <row r="43" spans="1:15">
      <c r="A43" s="491" t="s">
        <v>249</v>
      </c>
      <c r="B43" s="476"/>
      <c r="C43" s="479">
        <v>0</v>
      </c>
      <c r="D43" s="479">
        <v>0</v>
      </c>
      <c r="E43" s="480">
        <v>0</v>
      </c>
      <c r="F43" s="481">
        <v>0</v>
      </c>
      <c r="G43" s="479">
        <v>0</v>
      </c>
      <c r="H43" s="478">
        <v>0</v>
      </c>
      <c r="I43" s="481">
        <v>0</v>
      </c>
      <c r="J43" s="479">
        <v>0</v>
      </c>
      <c r="K43" s="480">
        <v>0</v>
      </c>
      <c r="L43" s="507"/>
      <c r="M43" s="471"/>
      <c r="N43" s="471"/>
      <c r="O43" s="471"/>
    </row>
    <row r="44" spans="1:15">
      <c r="A44" s="492" t="s">
        <v>416</v>
      </c>
      <c r="B44" s="476"/>
      <c r="C44" s="557"/>
      <c r="D44" s="557"/>
      <c r="E44" s="573"/>
      <c r="F44" s="574"/>
      <c r="G44" s="557"/>
      <c r="H44" s="575"/>
      <c r="I44" s="574"/>
      <c r="J44" s="557"/>
      <c r="K44" s="573"/>
      <c r="L44" s="507"/>
      <c r="M44" s="471"/>
      <c r="N44" s="471"/>
      <c r="O44" s="471"/>
    </row>
    <row r="45" spans="1:15">
      <c r="A45" s="493" t="s">
        <v>79</v>
      </c>
      <c r="B45" s="476">
        <v>9</v>
      </c>
      <c r="C45" s="561"/>
      <c r="D45" s="561"/>
      <c r="E45" s="576"/>
      <c r="F45" s="577"/>
      <c r="G45" s="561"/>
      <c r="H45" s="578"/>
      <c r="I45" s="577"/>
      <c r="J45" s="561"/>
      <c r="K45" s="576"/>
      <c r="L45" s="507"/>
      <c r="M45" s="471"/>
      <c r="N45" s="471"/>
      <c r="O45" s="471"/>
    </row>
    <row r="46" spans="1:15">
      <c r="A46" s="494"/>
      <c r="B46" s="476"/>
      <c r="C46" s="479"/>
      <c r="D46" s="479"/>
      <c r="E46" s="480"/>
      <c r="F46" s="481"/>
      <c r="G46" s="479"/>
      <c r="H46" s="478"/>
      <c r="I46" s="481"/>
      <c r="J46" s="479"/>
      <c r="K46" s="480"/>
      <c r="L46" s="507"/>
      <c r="M46" s="471"/>
      <c r="N46" s="471"/>
      <c r="O46" s="471"/>
    </row>
    <row r="47" spans="1:15">
      <c r="A47" s="491" t="s">
        <v>250</v>
      </c>
      <c r="B47" s="476"/>
      <c r="C47" s="483">
        <v>0</v>
      </c>
      <c r="D47" s="483">
        <v>0</v>
      </c>
      <c r="E47" s="484">
        <v>0</v>
      </c>
      <c r="F47" s="485">
        <v>0</v>
      </c>
      <c r="G47" s="483">
        <v>0</v>
      </c>
      <c r="H47" s="482">
        <v>0</v>
      </c>
      <c r="I47" s="485">
        <v>0</v>
      </c>
      <c r="J47" s="483">
        <v>0</v>
      </c>
      <c r="K47" s="484">
        <v>0</v>
      </c>
      <c r="L47" s="507"/>
      <c r="M47" s="471"/>
      <c r="N47" s="471"/>
      <c r="O47" s="471"/>
    </row>
    <row r="48" spans="1:15">
      <c r="A48" s="492" t="s">
        <v>417</v>
      </c>
      <c r="B48" s="476"/>
      <c r="C48" s="556"/>
      <c r="D48" s="556"/>
      <c r="E48" s="568"/>
      <c r="F48" s="571"/>
      <c r="G48" s="556"/>
      <c r="H48" s="572"/>
      <c r="I48" s="571"/>
      <c r="J48" s="556"/>
      <c r="K48" s="568"/>
      <c r="L48" s="544"/>
      <c r="M48" s="471"/>
      <c r="N48" s="471"/>
      <c r="O48" s="471"/>
    </row>
    <row r="49" spans="1:12">
      <c r="A49" s="492" t="s">
        <v>79</v>
      </c>
      <c r="B49" s="476"/>
      <c r="C49" s="562"/>
      <c r="D49" s="562"/>
      <c r="E49" s="563"/>
      <c r="F49" s="564"/>
      <c r="G49" s="562"/>
      <c r="H49" s="565"/>
      <c r="I49" s="564"/>
      <c r="J49" s="562"/>
      <c r="K49" s="563"/>
      <c r="L49" s="507"/>
    </row>
    <row r="50" spans="1:12">
      <c r="A50" s="494"/>
      <c r="B50" s="476"/>
      <c r="C50" s="479"/>
      <c r="D50" s="479"/>
      <c r="E50" s="480"/>
      <c r="F50" s="481"/>
      <c r="G50" s="479"/>
      <c r="H50" s="478"/>
      <c r="I50" s="481"/>
      <c r="J50" s="479"/>
      <c r="K50" s="480"/>
      <c r="L50" s="507"/>
    </row>
    <row r="51" spans="1:12">
      <c r="A51" s="491" t="s">
        <v>251</v>
      </c>
      <c r="B51" s="476"/>
      <c r="C51" s="483">
        <v>1021191.3699999995</v>
      </c>
      <c r="D51" s="483">
        <v>3239231.9699999993</v>
      </c>
      <c r="E51" s="484">
        <v>1049874.3900000001</v>
      </c>
      <c r="F51" s="485">
        <v>2798550</v>
      </c>
      <c r="G51" s="483">
        <v>2863550</v>
      </c>
      <c r="H51" s="482">
        <v>2863550</v>
      </c>
      <c r="I51" s="485">
        <v>1799289</v>
      </c>
      <c r="J51" s="483">
        <v>0</v>
      </c>
      <c r="K51" s="484">
        <v>0</v>
      </c>
      <c r="L51" s="507"/>
    </row>
    <row r="52" spans="1:12">
      <c r="A52" s="493" t="s">
        <v>418</v>
      </c>
      <c r="B52" s="476"/>
      <c r="C52" s="556"/>
      <c r="D52" s="568">
        <v>2187238.6199999992</v>
      </c>
      <c r="E52" s="568">
        <v>93000</v>
      </c>
      <c r="F52" s="571"/>
      <c r="G52" s="556">
        <v>1600000</v>
      </c>
      <c r="H52" s="572">
        <v>1600000</v>
      </c>
      <c r="I52" s="571"/>
      <c r="J52" s="556"/>
      <c r="K52" s="568"/>
      <c r="L52" s="544"/>
    </row>
    <row r="53" spans="1:12">
      <c r="A53" s="493" t="s">
        <v>419</v>
      </c>
      <c r="B53" s="476">
        <v>10</v>
      </c>
      <c r="C53" s="525">
        <v>0</v>
      </c>
      <c r="D53" s="525">
        <v>0</v>
      </c>
      <c r="E53" s="526">
        <v>0</v>
      </c>
      <c r="F53" s="527">
        <v>1230000</v>
      </c>
      <c r="G53" s="525">
        <v>1230000</v>
      </c>
      <c r="H53" s="528">
        <v>1230000</v>
      </c>
      <c r="I53" s="527">
        <v>300000</v>
      </c>
      <c r="J53" s="525">
        <v>0</v>
      </c>
      <c r="K53" s="526">
        <v>0</v>
      </c>
      <c r="L53" s="507"/>
    </row>
    <row r="54" spans="1:12">
      <c r="A54" s="493" t="s">
        <v>420</v>
      </c>
      <c r="B54" s="476"/>
      <c r="C54" s="551"/>
      <c r="D54" s="551"/>
      <c r="E54" s="558"/>
      <c r="F54" s="559"/>
      <c r="G54" s="551"/>
      <c r="H54" s="560"/>
      <c r="I54" s="559"/>
      <c r="J54" s="551"/>
      <c r="K54" s="558"/>
      <c r="L54" s="544"/>
    </row>
    <row r="55" spans="1:12">
      <c r="A55" s="493" t="s">
        <v>421</v>
      </c>
      <c r="B55" s="476"/>
      <c r="C55" s="551">
        <v>307883.51999999955</v>
      </c>
      <c r="D55" s="558">
        <v>200124</v>
      </c>
      <c r="E55" s="558">
        <v>151662.70000000001</v>
      </c>
      <c r="F55" s="559"/>
      <c r="G55" s="551"/>
      <c r="H55" s="560"/>
      <c r="I55" s="559">
        <v>430000</v>
      </c>
      <c r="J55" s="551"/>
      <c r="K55" s="558"/>
      <c r="L55" s="544"/>
    </row>
    <row r="56" spans="1:12">
      <c r="A56" s="493" t="s">
        <v>422</v>
      </c>
      <c r="B56" s="476"/>
      <c r="C56" s="551">
        <v>638006</v>
      </c>
      <c r="D56" s="558">
        <v>371869.35</v>
      </c>
      <c r="E56" s="558">
        <v>459397.62</v>
      </c>
      <c r="F56" s="559">
        <v>918550</v>
      </c>
      <c r="G56" s="551">
        <v>33550</v>
      </c>
      <c r="H56" s="560">
        <v>33550</v>
      </c>
      <c r="I56" s="559">
        <v>568289</v>
      </c>
      <c r="J56" s="559"/>
      <c r="K56" s="559"/>
      <c r="L56" s="544"/>
    </row>
    <row r="57" spans="1:12">
      <c r="A57" s="493" t="s">
        <v>93</v>
      </c>
      <c r="B57" s="476"/>
      <c r="C57" s="551"/>
      <c r="D57" s="551"/>
      <c r="E57" s="558"/>
      <c r="F57" s="559"/>
      <c r="G57" s="551"/>
      <c r="H57" s="560"/>
      <c r="I57" s="559"/>
      <c r="J57" s="559"/>
      <c r="K57" s="559"/>
      <c r="L57" s="544"/>
    </row>
    <row r="58" spans="1:12">
      <c r="A58" s="493" t="s">
        <v>94</v>
      </c>
      <c r="B58" s="476"/>
      <c r="C58" s="551"/>
      <c r="D58" s="551"/>
      <c r="E58" s="558"/>
      <c r="F58" s="559"/>
      <c r="G58" s="551"/>
      <c r="H58" s="560"/>
      <c r="I58" s="559"/>
      <c r="J58" s="559"/>
      <c r="K58" s="559"/>
      <c r="L58" s="543"/>
    </row>
    <row r="59" spans="1:12">
      <c r="A59" s="493" t="s">
        <v>423</v>
      </c>
      <c r="B59" s="476"/>
      <c r="C59" s="551"/>
      <c r="D59" s="551"/>
      <c r="E59" s="558"/>
      <c r="F59" s="559"/>
      <c r="G59" s="551"/>
      <c r="H59" s="560"/>
      <c r="I59" s="559"/>
      <c r="J59" s="559"/>
      <c r="K59" s="559"/>
      <c r="L59" s="544"/>
    </row>
    <row r="60" spans="1:12">
      <c r="A60" s="493" t="s">
        <v>424</v>
      </c>
      <c r="B60" s="476"/>
      <c r="C60" s="551"/>
      <c r="D60" s="551"/>
      <c r="E60" s="558">
        <v>345814.07</v>
      </c>
      <c r="F60" s="559">
        <v>650000</v>
      </c>
      <c r="G60" s="551"/>
      <c r="H60" s="560"/>
      <c r="I60" s="559"/>
      <c r="J60" s="559"/>
      <c r="K60" s="559"/>
      <c r="L60" s="544"/>
    </row>
    <row r="61" spans="1:12">
      <c r="A61" s="493" t="s">
        <v>425</v>
      </c>
      <c r="B61" s="476"/>
      <c r="C61" s="551"/>
      <c r="D61" s="551"/>
      <c r="E61" s="558"/>
      <c r="F61" s="559"/>
      <c r="G61" s="551"/>
      <c r="H61" s="560"/>
      <c r="I61" s="559"/>
      <c r="J61" s="559"/>
      <c r="K61" s="559"/>
      <c r="L61" s="544"/>
    </row>
    <row r="62" spans="1:12">
      <c r="A62" s="493" t="s">
        <v>426</v>
      </c>
      <c r="B62" s="476"/>
      <c r="C62" s="551"/>
      <c r="D62" s="551"/>
      <c r="E62" s="558"/>
      <c r="F62" s="559"/>
      <c r="G62" s="551"/>
      <c r="H62" s="560"/>
      <c r="I62" s="559"/>
      <c r="J62" s="559"/>
      <c r="K62" s="559"/>
      <c r="L62" s="544"/>
    </row>
    <row r="63" spans="1:12">
      <c r="A63" s="492" t="s">
        <v>79</v>
      </c>
      <c r="B63" s="476"/>
      <c r="C63" s="562">
        <v>75301.850000000006</v>
      </c>
      <c r="D63" s="563">
        <v>480000</v>
      </c>
      <c r="E63" s="563"/>
      <c r="F63" s="564"/>
      <c r="G63" s="562"/>
      <c r="H63" s="565"/>
      <c r="I63" s="564">
        <v>501000</v>
      </c>
      <c r="J63" s="564"/>
      <c r="K63" s="564"/>
      <c r="L63" s="544"/>
    </row>
    <row r="64" spans="1:12">
      <c r="A64" s="518"/>
      <c r="B64" s="476"/>
      <c r="C64" s="479"/>
      <c r="D64" s="479"/>
      <c r="E64" s="480"/>
      <c r="F64" s="481"/>
      <c r="G64" s="479"/>
      <c r="H64" s="478"/>
      <c r="I64" s="481"/>
      <c r="J64" s="479"/>
      <c r="K64" s="480"/>
      <c r="L64" s="507"/>
    </row>
    <row r="65" spans="1:12">
      <c r="A65" s="491" t="s">
        <v>427</v>
      </c>
      <c r="B65" s="476"/>
      <c r="C65" s="479">
        <v>0</v>
      </c>
      <c r="D65" s="479">
        <v>0</v>
      </c>
      <c r="E65" s="480">
        <v>0</v>
      </c>
      <c r="F65" s="481">
        <v>0</v>
      </c>
      <c r="G65" s="479">
        <v>0</v>
      </c>
      <c r="H65" s="478">
        <v>0</v>
      </c>
      <c r="I65" s="481">
        <v>0</v>
      </c>
      <c r="J65" s="479">
        <v>0</v>
      </c>
      <c r="K65" s="480">
        <v>0</v>
      </c>
      <c r="L65" s="507"/>
    </row>
    <row r="66" spans="1:12">
      <c r="A66" s="570" t="s">
        <v>428</v>
      </c>
      <c r="B66" s="476"/>
      <c r="C66" s="556"/>
      <c r="D66" s="556"/>
      <c r="E66" s="568"/>
      <c r="F66" s="571"/>
      <c r="G66" s="556"/>
      <c r="H66" s="572"/>
      <c r="I66" s="571"/>
      <c r="J66" s="556"/>
      <c r="K66" s="568"/>
      <c r="L66" s="507"/>
    </row>
    <row r="67" spans="1:12">
      <c r="A67" s="570"/>
      <c r="B67" s="476"/>
      <c r="C67" s="562"/>
      <c r="D67" s="562"/>
      <c r="E67" s="563"/>
      <c r="F67" s="564"/>
      <c r="G67" s="562"/>
      <c r="H67" s="565"/>
      <c r="I67" s="564"/>
      <c r="J67" s="562"/>
      <c r="K67" s="563"/>
      <c r="L67" s="507"/>
    </row>
    <row r="68" spans="1:12">
      <c r="A68" s="518"/>
      <c r="B68" s="476"/>
      <c r="C68" s="479"/>
      <c r="D68" s="479"/>
      <c r="E68" s="480"/>
      <c r="F68" s="481"/>
      <c r="G68" s="479"/>
      <c r="H68" s="478"/>
      <c r="I68" s="481"/>
      <c r="J68" s="479"/>
      <c r="K68" s="480"/>
      <c r="L68" s="507"/>
    </row>
    <row r="69" spans="1:12">
      <c r="A69" s="491" t="s">
        <v>253</v>
      </c>
      <c r="B69" s="476"/>
      <c r="C69" s="479">
        <v>0</v>
      </c>
      <c r="D69" s="479">
        <v>0</v>
      </c>
      <c r="E69" s="480">
        <v>0</v>
      </c>
      <c r="F69" s="481">
        <v>0</v>
      </c>
      <c r="G69" s="479">
        <v>0</v>
      </c>
      <c r="H69" s="478">
        <v>0</v>
      </c>
      <c r="I69" s="481">
        <v>0</v>
      </c>
      <c r="J69" s="479">
        <v>0</v>
      </c>
      <c r="K69" s="480">
        <v>0</v>
      </c>
      <c r="L69" s="507"/>
    </row>
    <row r="70" spans="1:12">
      <c r="A70" s="570" t="s">
        <v>428</v>
      </c>
      <c r="B70" s="476"/>
      <c r="C70" s="556"/>
      <c r="D70" s="556"/>
      <c r="E70" s="568"/>
      <c r="F70" s="571"/>
      <c r="G70" s="556"/>
      <c r="H70" s="572"/>
      <c r="I70" s="571"/>
      <c r="J70" s="556"/>
      <c r="K70" s="568"/>
      <c r="L70" s="507"/>
    </row>
    <row r="71" spans="1:12">
      <c r="A71" s="570"/>
      <c r="B71" s="476"/>
      <c r="C71" s="562"/>
      <c r="D71" s="562"/>
      <c r="E71" s="563"/>
      <c r="F71" s="564"/>
      <c r="G71" s="562"/>
      <c r="H71" s="565"/>
      <c r="I71" s="564"/>
      <c r="J71" s="562"/>
      <c r="K71" s="563"/>
      <c r="L71" s="507"/>
    </row>
    <row r="72" spans="1:12">
      <c r="A72" s="494"/>
      <c r="B72" s="476"/>
      <c r="C72" s="479"/>
      <c r="D72" s="479"/>
      <c r="E72" s="480"/>
      <c r="F72" s="481"/>
      <c r="G72" s="479"/>
      <c r="H72" s="478"/>
      <c r="I72" s="481"/>
      <c r="J72" s="479"/>
      <c r="K72" s="480"/>
      <c r="L72" s="507"/>
    </row>
    <row r="73" spans="1:12">
      <c r="A73" s="491" t="s">
        <v>254</v>
      </c>
      <c r="B73" s="476"/>
      <c r="C73" s="479">
        <v>0</v>
      </c>
      <c r="D73" s="479">
        <v>0</v>
      </c>
      <c r="E73" s="480">
        <v>0</v>
      </c>
      <c r="F73" s="481">
        <v>0</v>
      </c>
      <c r="G73" s="479">
        <v>0</v>
      </c>
      <c r="H73" s="478">
        <v>0</v>
      </c>
      <c r="I73" s="481">
        <v>0</v>
      </c>
      <c r="J73" s="479">
        <v>0</v>
      </c>
      <c r="K73" s="480">
        <v>0</v>
      </c>
      <c r="L73" s="507"/>
    </row>
    <row r="74" spans="1:12">
      <c r="A74" s="493" t="s">
        <v>429</v>
      </c>
      <c r="B74" s="476"/>
      <c r="C74" s="556"/>
      <c r="D74" s="556"/>
      <c r="E74" s="568"/>
      <c r="F74" s="571"/>
      <c r="G74" s="556"/>
      <c r="H74" s="572"/>
      <c r="I74" s="571"/>
      <c r="J74" s="556"/>
      <c r="K74" s="568"/>
      <c r="L74" s="507"/>
    </row>
    <row r="75" spans="1:12">
      <c r="A75" s="569" t="s">
        <v>430</v>
      </c>
      <c r="B75" s="476"/>
      <c r="C75" s="562"/>
      <c r="D75" s="562"/>
      <c r="E75" s="563"/>
      <c r="F75" s="564"/>
      <c r="G75" s="562"/>
      <c r="H75" s="565"/>
      <c r="I75" s="564"/>
      <c r="J75" s="562"/>
      <c r="K75" s="563"/>
      <c r="L75" s="507"/>
    </row>
    <row r="76" spans="1:12">
      <c r="A76" s="494"/>
      <c r="B76" s="476"/>
      <c r="C76" s="483"/>
      <c r="D76" s="483"/>
      <c r="E76" s="484"/>
      <c r="F76" s="485"/>
      <c r="G76" s="483"/>
      <c r="H76" s="482"/>
      <c r="I76" s="485"/>
      <c r="J76" s="483"/>
      <c r="K76" s="484"/>
      <c r="L76" s="507"/>
    </row>
    <row r="77" spans="1:12">
      <c r="A77" s="495" t="s">
        <v>431</v>
      </c>
      <c r="B77" s="486">
        <v>1</v>
      </c>
      <c r="C77" s="489">
        <v>17580071.710000001</v>
      </c>
      <c r="D77" s="489">
        <v>26406363.789999995</v>
      </c>
      <c r="E77" s="487">
        <v>24065430.559999999</v>
      </c>
      <c r="F77" s="488">
        <v>4023550</v>
      </c>
      <c r="G77" s="489">
        <v>4088550</v>
      </c>
      <c r="H77" s="490">
        <v>4088550</v>
      </c>
      <c r="I77" s="488">
        <v>23186059</v>
      </c>
      <c r="J77" s="489">
        <v>9289950</v>
      </c>
      <c r="K77" s="487">
        <v>4620000</v>
      </c>
      <c r="L77" s="507"/>
    </row>
    <row r="78" spans="1:12">
      <c r="A78" s="545"/>
      <c r="B78" s="515"/>
      <c r="C78" s="482"/>
      <c r="D78" s="482"/>
      <c r="E78" s="482"/>
      <c r="F78" s="482"/>
      <c r="G78" s="482"/>
      <c r="H78" s="482"/>
      <c r="I78" s="482"/>
      <c r="J78" s="482"/>
      <c r="K78" s="482"/>
      <c r="L78" s="507"/>
    </row>
    <row r="79" spans="1:12">
      <c r="A79" s="546" t="s">
        <v>419</v>
      </c>
      <c r="B79" s="547"/>
      <c r="C79" s="537">
        <v>0</v>
      </c>
      <c r="D79" s="536">
        <v>0</v>
      </c>
      <c r="E79" s="548">
        <v>0</v>
      </c>
      <c r="F79" s="537">
        <v>1230000</v>
      </c>
      <c r="G79" s="536">
        <v>1230000</v>
      </c>
      <c r="H79" s="548">
        <v>1230000</v>
      </c>
      <c r="I79" s="537">
        <v>300000</v>
      </c>
      <c r="J79" s="536">
        <v>0</v>
      </c>
      <c r="K79" s="548">
        <v>0</v>
      </c>
      <c r="L79" s="507"/>
    </row>
    <row r="80" spans="1:12">
      <c r="A80" s="477" t="s">
        <v>321</v>
      </c>
      <c r="B80" s="549"/>
      <c r="C80" s="553"/>
      <c r="D80" s="551"/>
      <c r="E80" s="554"/>
      <c r="F80" s="524">
        <v>1230000</v>
      </c>
      <c r="G80" s="551">
        <v>1230000</v>
      </c>
      <c r="H80" s="554">
        <v>1230000</v>
      </c>
      <c r="I80" s="553">
        <v>300000</v>
      </c>
      <c r="J80" s="553">
        <v>0</v>
      </c>
      <c r="K80" s="553">
        <v>0</v>
      </c>
      <c r="L80" s="507"/>
    </row>
    <row r="81" spans="1:12">
      <c r="A81" s="477" t="s">
        <v>77</v>
      </c>
      <c r="B81" s="549"/>
      <c r="C81" s="553"/>
      <c r="D81" s="551"/>
      <c r="E81" s="554"/>
      <c r="F81" s="553"/>
      <c r="G81" s="551"/>
      <c r="H81" s="554"/>
      <c r="I81" s="553"/>
      <c r="J81" s="551"/>
      <c r="K81" s="554"/>
      <c r="L81" s="507"/>
    </row>
    <row r="82" spans="1:12">
      <c r="A82" s="477" t="s">
        <v>432</v>
      </c>
      <c r="B82" s="549"/>
      <c r="C82" s="553"/>
      <c r="D82" s="551"/>
      <c r="E82" s="554"/>
      <c r="F82" s="553"/>
      <c r="G82" s="551"/>
      <c r="H82" s="554"/>
      <c r="I82" s="553"/>
      <c r="J82" s="551"/>
      <c r="K82" s="554"/>
      <c r="L82" s="507"/>
    </row>
    <row r="83" spans="1:12">
      <c r="A83" s="538" t="s">
        <v>433</v>
      </c>
      <c r="B83" s="550"/>
      <c r="C83" s="567"/>
      <c r="D83" s="566"/>
      <c r="E83" s="579"/>
      <c r="F83" s="567"/>
      <c r="G83" s="566"/>
      <c r="H83" s="579"/>
      <c r="I83" s="567"/>
      <c r="J83" s="566"/>
      <c r="K83" s="579"/>
      <c r="L83" s="507"/>
    </row>
    <row r="84" spans="1:12">
      <c r="A84" s="471"/>
      <c r="B84" s="471"/>
      <c r="C84" s="471"/>
      <c r="D84" s="471"/>
      <c r="E84" s="471"/>
      <c r="F84" s="471"/>
      <c r="G84" s="471"/>
      <c r="H84" s="471"/>
      <c r="I84" s="471"/>
      <c r="J84" s="471"/>
      <c r="K84" s="471"/>
    </row>
    <row r="85" spans="1:12">
      <c r="A85" s="471"/>
      <c r="B85" s="471"/>
      <c r="C85" s="471"/>
      <c r="D85" s="471"/>
      <c r="E85" s="471"/>
      <c r="F85" s="471"/>
      <c r="G85" s="471"/>
      <c r="H85" s="471"/>
      <c r="I85" s="471"/>
      <c r="J85" s="471"/>
      <c r="K85" s="471"/>
    </row>
    <row r="86" spans="1:12">
      <c r="A86" s="471"/>
      <c r="B86" s="471"/>
      <c r="C86" s="471"/>
      <c r="D86" s="471"/>
      <c r="E86" s="471"/>
      <c r="F86" s="471"/>
      <c r="G86" s="471"/>
      <c r="H86" s="471"/>
      <c r="I86" s="471"/>
      <c r="J86" s="471"/>
      <c r="K86" s="471"/>
    </row>
    <row r="87" spans="1:12">
      <c r="A87" s="471"/>
      <c r="B87" s="471"/>
      <c r="C87" s="471"/>
      <c r="D87" s="471"/>
      <c r="E87" s="471"/>
      <c r="F87" s="471"/>
      <c r="G87" s="471"/>
      <c r="H87" s="471"/>
      <c r="I87" s="471"/>
      <c r="J87" s="471"/>
      <c r="K87" s="471"/>
    </row>
    <row r="88" spans="1:12">
      <c r="A88" s="471"/>
      <c r="B88" s="471"/>
      <c r="C88" s="471"/>
      <c r="D88" s="471"/>
      <c r="E88" s="471"/>
      <c r="F88" s="471"/>
      <c r="G88" s="471"/>
      <c r="H88" s="471"/>
      <c r="I88" s="471"/>
      <c r="J88" s="471"/>
      <c r="K88" s="471"/>
    </row>
    <row r="89" spans="1:12">
      <c r="A89" s="471"/>
      <c r="B89" s="471"/>
      <c r="C89" s="471"/>
      <c r="D89" s="471"/>
      <c r="E89" s="471"/>
      <c r="F89" s="471"/>
      <c r="G89" s="471"/>
      <c r="H89" s="471"/>
      <c r="I89" s="471"/>
      <c r="J89" s="471"/>
      <c r="K89" s="471"/>
    </row>
    <row r="90" spans="1:12">
      <c r="A90" s="471"/>
      <c r="B90" s="471"/>
      <c r="C90" s="471"/>
      <c r="D90" s="471"/>
      <c r="E90" s="471"/>
      <c r="F90" s="471"/>
      <c r="G90" s="471"/>
      <c r="H90" s="471"/>
      <c r="I90" s="471"/>
      <c r="J90" s="471"/>
      <c r="K90" s="471"/>
    </row>
    <row r="91" spans="1:12">
      <c r="A91" s="471"/>
      <c r="B91" s="471"/>
      <c r="C91" s="471"/>
      <c r="D91" s="471"/>
      <c r="E91" s="471"/>
      <c r="F91" s="471"/>
      <c r="G91" s="471"/>
      <c r="H91" s="471"/>
      <c r="I91" s="471"/>
      <c r="J91" s="471"/>
      <c r="K91" s="471"/>
    </row>
    <row r="92" spans="1:12">
      <c r="A92" s="471"/>
      <c r="B92" s="471"/>
      <c r="C92" s="471"/>
      <c r="D92" s="471"/>
      <c r="E92" s="471"/>
      <c r="F92" s="471"/>
      <c r="G92" s="471"/>
      <c r="H92" s="471"/>
      <c r="I92" s="471"/>
      <c r="J92" s="471"/>
      <c r="K92" s="471"/>
    </row>
    <row r="93" spans="1:12">
      <c r="A93" s="471"/>
      <c r="B93" s="471"/>
      <c r="C93" s="471"/>
      <c r="D93" s="471"/>
      <c r="E93" s="471"/>
      <c r="F93" s="471"/>
      <c r="G93" s="471"/>
      <c r="H93" s="471"/>
      <c r="I93" s="471"/>
      <c r="J93" s="471"/>
      <c r="K93" s="471"/>
    </row>
    <row r="94" spans="1:12">
      <c r="A94" s="471"/>
      <c r="B94" s="471"/>
      <c r="C94" s="471"/>
      <c r="D94" s="471"/>
      <c r="E94" s="471"/>
      <c r="F94" s="471"/>
      <c r="G94" s="471"/>
      <c r="H94" s="471"/>
      <c r="I94" s="471"/>
      <c r="J94" s="471"/>
      <c r="K94" s="471"/>
    </row>
    <row r="95" spans="1:12">
      <c r="A95" s="471"/>
      <c r="B95" s="471"/>
      <c r="C95" s="471"/>
      <c r="D95" s="471"/>
      <c r="E95" s="471"/>
      <c r="F95" s="471"/>
      <c r="G95" s="471"/>
      <c r="H95" s="471"/>
      <c r="I95" s="471"/>
      <c r="J95" s="471"/>
      <c r="K95" s="471"/>
    </row>
    <row r="96" spans="1:12">
      <c r="A96" s="471"/>
      <c r="B96" s="471"/>
      <c r="C96" s="471"/>
      <c r="D96" s="471"/>
      <c r="E96" s="471"/>
      <c r="F96" s="471"/>
      <c r="G96" s="471"/>
      <c r="H96" s="471"/>
      <c r="I96" s="471"/>
      <c r="J96" s="471"/>
      <c r="K96" s="471"/>
    </row>
    <row r="97" spans="1:11">
      <c r="A97" s="471"/>
      <c r="B97" s="471"/>
      <c r="C97" s="471"/>
      <c r="D97" s="471"/>
      <c r="E97" s="471"/>
      <c r="F97" s="471"/>
      <c r="G97" s="471"/>
      <c r="H97" s="471"/>
      <c r="I97" s="471"/>
      <c r="J97" s="471"/>
      <c r="K97" s="471"/>
    </row>
  </sheetData>
  <mergeCells count="2">
    <mergeCell ref="F2:H2"/>
    <mergeCell ref="I2:K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99"/>
  <sheetViews>
    <sheetView workbookViewId="0"/>
  </sheetViews>
  <sheetFormatPr defaultRowHeight="15"/>
  <cols>
    <col min="1" max="1" width="27.42578125" customWidth="1"/>
    <col min="2" max="2" width="3.85546875" customWidth="1"/>
  </cols>
  <sheetData>
    <row r="1" spans="1:12">
      <c r="A1" s="582" t="s">
        <v>434</v>
      </c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80"/>
    </row>
    <row r="2" spans="1:12">
      <c r="A2" s="637" t="s">
        <v>0</v>
      </c>
      <c r="B2" s="627" t="s">
        <v>67</v>
      </c>
      <c r="C2" s="583" t="s">
        <v>1</v>
      </c>
      <c r="D2" s="632" t="s">
        <v>2</v>
      </c>
      <c r="E2" s="581" t="s">
        <v>3</v>
      </c>
      <c r="F2" s="1422" t="s">
        <v>4</v>
      </c>
      <c r="G2" s="1423"/>
      <c r="H2" s="1423"/>
      <c r="I2" s="1419" t="s">
        <v>5</v>
      </c>
      <c r="J2" s="1420"/>
      <c r="K2" s="1421"/>
      <c r="L2" s="580"/>
    </row>
    <row r="3" spans="1:12" ht="25.5">
      <c r="A3" s="584" t="s">
        <v>68</v>
      </c>
      <c r="B3" s="638">
        <v>1</v>
      </c>
      <c r="C3" s="622" t="s">
        <v>7</v>
      </c>
      <c r="D3" s="639" t="s">
        <v>7</v>
      </c>
      <c r="E3" s="623" t="s">
        <v>7</v>
      </c>
      <c r="F3" s="607" t="s">
        <v>8</v>
      </c>
      <c r="G3" s="622" t="s">
        <v>9</v>
      </c>
      <c r="H3" s="621" t="s">
        <v>10</v>
      </c>
      <c r="I3" s="607" t="s">
        <v>12</v>
      </c>
      <c r="J3" s="622" t="s">
        <v>13</v>
      </c>
      <c r="K3" s="623" t="s">
        <v>14</v>
      </c>
      <c r="L3" s="580"/>
    </row>
    <row r="4" spans="1:12">
      <c r="A4" s="636" t="s">
        <v>435</v>
      </c>
      <c r="B4" s="631"/>
      <c r="C4" s="647"/>
      <c r="D4" s="608"/>
      <c r="E4" s="611"/>
      <c r="F4" s="610"/>
      <c r="G4" s="608"/>
      <c r="H4" s="609"/>
      <c r="I4" s="610"/>
      <c r="J4" s="608"/>
      <c r="K4" s="611"/>
      <c r="L4" s="580"/>
    </row>
    <row r="5" spans="1:12">
      <c r="A5" s="601"/>
      <c r="B5" s="585"/>
      <c r="C5" s="612"/>
      <c r="D5" s="612"/>
      <c r="E5" s="615"/>
      <c r="F5" s="614"/>
      <c r="G5" s="612"/>
      <c r="H5" s="613"/>
      <c r="I5" s="614"/>
      <c r="J5" s="612"/>
      <c r="K5" s="615"/>
      <c r="L5" s="580"/>
    </row>
    <row r="6" spans="1:12">
      <c r="A6" s="601" t="s">
        <v>247</v>
      </c>
      <c r="B6" s="585"/>
      <c r="C6" s="624">
        <v>0</v>
      </c>
      <c r="D6" s="624">
        <v>0</v>
      </c>
      <c r="E6" s="617">
        <v>0</v>
      </c>
      <c r="F6" s="625">
        <v>17803800</v>
      </c>
      <c r="G6" s="624">
        <v>35403800</v>
      </c>
      <c r="H6" s="626">
        <v>35403800</v>
      </c>
      <c r="I6" s="625">
        <v>15500000</v>
      </c>
      <c r="J6" s="624">
        <v>17385200</v>
      </c>
      <c r="K6" s="617">
        <v>16960000</v>
      </c>
      <c r="L6" s="661"/>
    </row>
    <row r="7" spans="1:12">
      <c r="A7" s="602" t="s">
        <v>388</v>
      </c>
      <c r="B7" s="585"/>
      <c r="C7" s="648">
        <v>0</v>
      </c>
      <c r="D7" s="648">
        <v>0</v>
      </c>
      <c r="E7" s="657">
        <v>0</v>
      </c>
      <c r="F7" s="649">
        <v>4390000</v>
      </c>
      <c r="G7" s="648">
        <v>969679</v>
      </c>
      <c r="H7" s="650">
        <v>969679</v>
      </c>
      <c r="I7" s="658">
        <v>5000000</v>
      </c>
      <c r="J7" s="648">
        <v>5000000</v>
      </c>
      <c r="K7" s="650">
        <v>9474100</v>
      </c>
      <c r="L7" s="620"/>
    </row>
    <row r="8" spans="1:12">
      <c r="A8" s="652" t="s">
        <v>389</v>
      </c>
      <c r="B8" s="585"/>
      <c r="C8" s="667"/>
      <c r="D8" s="667"/>
      <c r="E8" s="674"/>
      <c r="F8" s="640">
        <v>4390000</v>
      </c>
      <c r="G8" s="667">
        <v>969679</v>
      </c>
      <c r="H8" s="676">
        <v>969679</v>
      </c>
      <c r="I8" s="675">
        <v>5000000</v>
      </c>
      <c r="J8" s="667">
        <v>5000000</v>
      </c>
      <c r="K8" s="674">
        <v>9474100</v>
      </c>
      <c r="L8" s="661"/>
    </row>
    <row r="9" spans="1:12">
      <c r="A9" s="652" t="s">
        <v>390</v>
      </c>
      <c r="B9" s="585"/>
      <c r="C9" s="667"/>
      <c r="D9" s="667"/>
      <c r="E9" s="674"/>
      <c r="F9" s="675"/>
      <c r="G9" s="667"/>
      <c r="H9" s="676"/>
      <c r="I9" s="675"/>
      <c r="J9" s="667"/>
      <c r="K9" s="674"/>
      <c r="L9" s="662"/>
    </row>
    <row r="10" spans="1:12">
      <c r="A10" s="602" t="s">
        <v>391</v>
      </c>
      <c r="B10" s="585"/>
      <c r="C10" s="641">
        <v>0</v>
      </c>
      <c r="D10" s="641">
        <v>0</v>
      </c>
      <c r="E10" s="659">
        <v>0</v>
      </c>
      <c r="F10" s="645">
        <v>0</v>
      </c>
      <c r="G10" s="641">
        <v>0</v>
      </c>
      <c r="H10" s="651">
        <v>0</v>
      </c>
      <c r="I10" s="660">
        <v>0</v>
      </c>
      <c r="J10" s="641">
        <v>0</v>
      </c>
      <c r="K10" s="651">
        <v>0</v>
      </c>
      <c r="L10" s="662"/>
    </row>
    <row r="11" spans="1:12">
      <c r="A11" s="652" t="s">
        <v>392</v>
      </c>
      <c r="B11" s="585"/>
      <c r="C11" s="667"/>
      <c r="D11" s="667"/>
      <c r="E11" s="668"/>
      <c r="F11" s="669"/>
      <c r="G11" s="667"/>
      <c r="H11" s="670"/>
      <c r="I11" s="671"/>
      <c r="J11" s="667"/>
      <c r="K11" s="670"/>
      <c r="L11" s="662"/>
    </row>
    <row r="12" spans="1:12">
      <c r="A12" s="652" t="s">
        <v>393</v>
      </c>
      <c r="B12" s="585"/>
      <c r="C12" s="667"/>
      <c r="D12" s="667"/>
      <c r="E12" s="668"/>
      <c r="F12" s="669"/>
      <c r="G12" s="667"/>
      <c r="H12" s="670"/>
      <c r="I12" s="671"/>
      <c r="J12" s="667"/>
      <c r="K12" s="670"/>
      <c r="L12" s="662"/>
    </row>
    <row r="13" spans="1:12">
      <c r="A13" s="652" t="s">
        <v>78</v>
      </c>
      <c r="B13" s="585"/>
      <c r="C13" s="667"/>
      <c r="D13" s="667"/>
      <c r="E13" s="668"/>
      <c r="F13" s="669"/>
      <c r="G13" s="667"/>
      <c r="H13" s="670"/>
      <c r="I13" s="671"/>
      <c r="J13" s="667"/>
      <c r="K13" s="670"/>
      <c r="L13" s="662"/>
    </row>
    <row r="14" spans="1:12">
      <c r="A14" s="603" t="s">
        <v>394</v>
      </c>
      <c r="B14" s="618"/>
      <c r="C14" s="641">
        <v>0</v>
      </c>
      <c r="D14" s="641">
        <v>0</v>
      </c>
      <c r="E14" s="659">
        <v>0</v>
      </c>
      <c r="F14" s="645">
        <v>7545055</v>
      </c>
      <c r="G14" s="641">
        <v>25928292</v>
      </c>
      <c r="H14" s="651">
        <v>25928292</v>
      </c>
      <c r="I14" s="660">
        <v>0</v>
      </c>
      <c r="J14" s="641">
        <v>0</v>
      </c>
      <c r="K14" s="651">
        <v>0</v>
      </c>
      <c r="L14" s="662"/>
    </row>
    <row r="15" spans="1:12">
      <c r="A15" s="652" t="s">
        <v>395</v>
      </c>
      <c r="B15" s="585"/>
      <c r="C15" s="667"/>
      <c r="D15" s="667"/>
      <c r="E15" s="668"/>
      <c r="F15" s="669"/>
      <c r="G15" s="667"/>
      <c r="H15" s="670"/>
      <c r="I15" s="671"/>
      <c r="J15" s="667"/>
      <c r="K15" s="670"/>
      <c r="L15" s="662"/>
    </row>
    <row r="16" spans="1:12">
      <c r="A16" s="652" t="s">
        <v>396</v>
      </c>
      <c r="B16" s="585"/>
      <c r="C16" s="667"/>
      <c r="D16" s="667"/>
      <c r="E16" s="668"/>
      <c r="F16" s="669"/>
      <c r="G16" s="667"/>
      <c r="H16" s="670"/>
      <c r="I16" s="671"/>
      <c r="J16" s="667"/>
      <c r="K16" s="670"/>
      <c r="L16" s="662"/>
    </row>
    <row r="17" spans="1:12">
      <c r="A17" s="652" t="s">
        <v>397</v>
      </c>
      <c r="B17" s="585"/>
      <c r="C17" s="667"/>
      <c r="D17" s="667"/>
      <c r="E17" s="668"/>
      <c r="F17" s="640">
        <v>7545055</v>
      </c>
      <c r="G17" s="667">
        <v>25928292</v>
      </c>
      <c r="H17" s="670">
        <v>25928292</v>
      </c>
      <c r="I17" s="671"/>
      <c r="J17" s="667"/>
      <c r="K17" s="670"/>
      <c r="L17" s="662"/>
    </row>
    <row r="18" spans="1:12">
      <c r="A18" s="603" t="s">
        <v>398</v>
      </c>
      <c r="B18" s="585"/>
      <c r="C18" s="641">
        <v>0</v>
      </c>
      <c r="D18" s="641">
        <v>0</v>
      </c>
      <c r="E18" s="659">
        <v>0</v>
      </c>
      <c r="F18" s="645">
        <v>5868745</v>
      </c>
      <c r="G18" s="641">
        <v>8505829</v>
      </c>
      <c r="H18" s="651">
        <v>8505829</v>
      </c>
      <c r="I18" s="660">
        <v>10500000</v>
      </c>
      <c r="J18" s="641">
        <v>12385200</v>
      </c>
      <c r="K18" s="651">
        <v>7485900</v>
      </c>
      <c r="L18" s="662"/>
    </row>
    <row r="19" spans="1:12">
      <c r="A19" s="652" t="s">
        <v>397</v>
      </c>
      <c r="B19" s="585"/>
      <c r="C19" s="667"/>
      <c r="D19" s="667"/>
      <c r="E19" s="668"/>
      <c r="F19" s="640">
        <v>500000</v>
      </c>
      <c r="G19" s="667">
        <v>500000</v>
      </c>
      <c r="H19" s="670">
        <v>500000</v>
      </c>
      <c r="I19" s="671"/>
      <c r="J19" s="667"/>
      <c r="K19" s="670"/>
      <c r="L19" s="662"/>
    </row>
    <row r="20" spans="1:12">
      <c r="A20" s="652" t="s">
        <v>399</v>
      </c>
      <c r="B20" s="585"/>
      <c r="C20" s="667"/>
      <c r="D20" s="667"/>
      <c r="E20" s="668"/>
      <c r="F20" s="640">
        <v>5368745</v>
      </c>
      <c r="G20" s="667">
        <v>8005829</v>
      </c>
      <c r="H20" s="670">
        <v>8005829</v>
      </c>
      <c r="I20" s="671">
        <v>10500000</v>
      </c>
      <c r="J20" s="667">
        <v>12385200</v>
      </c>
      <c r="K20" s="670">
        <v>7485900</v>
      </c>
      <c r="L20" s="662"/>
    </row>
    <row r="21" spans="1:12">
      <c r="A21" s="602" t="s">
        <v>400</v>
      </c>
      <c r="B21" s="585"/>
      <c r="C21" s="641">
        <v>0</v>
      </c>
      <c r="D21" s="641">
        <v>0</v>
      </c>
      <c r="E21" s="641">
        <v>0</v>
      </c>
      <c r="F21" s="645">
        <v>0</v>
      </c>
      <c r="G21" s="641">
        <v>0</v>
      </c>
      <c r="H21" s="651">
        <v>0</v>
      </c>
      <c r="I21" s="660">
        <v>0</v>
      </c>
      <c r="J21" s="641">
        <v>0</v>
      </c>
      <c r="K21" s="651">
        <v>0</v>
      </c>
      <c r="L21" s="662"/>
    </row>
    <row r="22" spans="1:12">
      <c r="A22" s="652" t="s">
        <v>401</v>
      </c>
      <c r="B22" s="585"/>
      <c r="C22" s="667"/>
      <c r="D22" s="667"/>
      <c r="E22" s="676"/>
      <c r="F22" s="675"/>
      <c r="G22" s="667"/>
      <c r="H22" s="676"/>
      <c r="I22" s="675"/>
      <c r="J22" s="667"/>
      <c r="K22" s="670"/>
      <c r="L22" s="661"/>
    </row>
    <row r="23" spans="1:12">
      <c r="A23" s="652" t="s">
        <v>402</v>
      </c>
      <c r="B23" s="585">
        <v>2</v>
      </c>
      <c r="C23" s="667"/>
      <c r="D23" s="667"/>
      <c r="E23" s="674"/>
      <c r="F23" s="675"/>
      <c r="G23" s="667"/>
      <c r="H23" s="676"/>
      <c r="I23" s="675"/>
      <c r="J23" s="667"/>
      <c r="K23" s="670"/>
      <c r="L23" s="662"/>
    </row>
    <row r="24" spans="1:12">
      <c r="A24" s="652" t="s">
        <v>403</v>
      </c>
      <c r="B24" s="585"/>
      <c r="C24" s="667"/>
      <c r="D24" s="667"/>
      <c r="E24" s="674"/>
      <c r="F24" s="675"/>
      <c r="G24" s="667"/>
      <c r="H24" s="676"/>
      <c r="I24" s="675"/>
      <c r="J24" s="667"/>
      <c r="K24" s="674"/>
      <c r="L24" s="662"/>
    </row>
    <row r="25" spans="1:12">
      <c r="A25" s="652" t="s">
        <v>79</v>
      </c>
      <c r="B25" s="585">
        <v>3</v>
      </c>
      <c r="C25" s="667"/>
      <c r="D25" s="667"/>
      <c r="E25" s="674"/>
      <c r="F25" s="675"/>
      <c r="G25" s="667"/>
      <c r="H25" s="676"/>
      <c r="I25" s="675"/>
      <c r="J25" s="667"/>
      <c r="K25" s="674"/>
      <c r="L25" s="662"/>
    </row>
    <row r="26" spans="1:12">
      <c r="A26" s="604"/>
      <c r="B26" s="585"/>
      <c r="C26" s="588"/>
      <c r="D26" s="588"/>
      <c r="E26" s="589"/>
      <c r="F26" s="590"/>
      <c r="G26" s="588"/>
      <c r="H26" s="587"/>
      <c r="I26" s="590"/>
      <c r="J26" s="588"/>
      <c r="K26" s="589"/>
      <c r="L26" s="620"/>
    </row>
    <row r="27" spans="1:12">
      <c r="A27" s="601" t="s">
        <v>248</v>
      </c>
      <c r="B27" s="585"/>
      <c r="C27" s="592">
        <v>0</v>
      </c>
      <c r="D27" s="592">
        <v>0</v>
      </c>
      <c r="E27" s="593">
        <v>0</v>
      </c>
      <c r="F27" s="594">
        <v>1000000</v>
      </c>
      <c r="G27" s="592">
        <v>0</v>
      </c>
      <c r="H27" s="591">
        <v>0</v>
      </c>
      <c r="I27" s="594">
        <v>3500000</v>
      </c>
      <c r="J27" s="592">
        <v>3500000</v>
      </c>
      <c r="K27" s="593">
        <v>3500000</v>
      </c>
      <c r="L27" s="620"/>
    </row>
    <row r="28" spans="1:12">
      <c r="A28" s="602" t="s">
        <v>404</v>
      </c>
      <c r="B28" s="585"/>
      <c r="C28" s="672"/>
      <c r="D28" s="672"/>
      <c r="E28" s="684"/>
      <c r="F28" s="671">
        <v>1000000</v>
      </c>
      <c r="G28" s="672"/>
      <c r="H28" s="688"/>
      <c r="I28" s="687"/>
      <c r="J28" s="672"/>
      <c r="K28" s="684"/>
      <c r="L28" s="662"/>
    </row>
    <row r="29" spans="1:12">
      <c r="A29" s="602" t="s">
        <v>405</v>
      </c>
      <c r="B29" s="585"/>
      <c r="C29" s="667"/>
      <c r="D29" s="667"/>
      <c r="E29" s="674"/>
      <c r="F29" s="675"/>
      <c r="G29" s="667"/>
      <c r="H29" s="676"/>
      <c r="I29" s="675">
        <v>3500000</v>
      </c>
      <c r="J29" s="675">
        <v>3500000</v>
      </c>
      <c r="K29" s="675">
        <v>3500000</v>
      </c>
      <c r="L29" s="662"/>
    </row>
    <row r="30" spans="1:12">
      <c r="A30" s="602" t="s">
        <v>406</v>
      </c>
      <c r="B30" s="585"/>
      <c r="C30" s="667"/>
      <c r="D30" s="667"/>
      <c r="E30" s="674"/>
      <c r="F30" s="675"/>
      <c r="G30" s="667"/>
      <c r="H30" s="676"/>
      <c r="I30" s="675"/>
      <c r="J30" s="667"/>
      <c r="K30" s="674"/>
      <c r="L30" s="662"/>
    </row>
    <row r="31" spans="1:12">
      <c r="A31" s="602" t="s">
        <v>407</v>
      </c>
      <c r="B31" s="585"/>
      <c r="C31" s="667"/>
      <c r="D31" s="667"/>
      <c r="E31" s="674"/>
      <c r="F31" s="675"/>
      <c r="G31" s="667"/>
      <c r="H31" s="676"/>
      <c r="I31" s="675"/>
      <c r="J31" s="667"/>
      <c r="K31" s="674"/>
      <c r="L31" s="662"/>
    </row>
    <row r="32" spans="1:12">
      <c r="A32" s="602" t="s">
        <v>408</v>
      </c>
      <c r="B32" s="585"/>
      <c r="C32" s="667"/>
      <c r="D32" s="667"/>
      <c r="E32" s="674"/>
      <c r="F32" s="675"/>
      <c r="G32" s="667"/>
      <c r="H32" s="676"/>
      <c r="I32" s="675"/>
      <c r="J32" s="667"/>
      <c r="K32" s="674"/>
      <c r="L32" s="662"/>
    </row>
    <row r="33" spans="1:15">
      <c r="A33" s="602" t="s">
        <v>409</v>
      </c>
      <c r="B33" s="585"/>
      <c r="C33" s="667"/>
      <c r="D33" s="667"/>
      <c r="E33" s="674"/>
      <c r="F33" s="675"/>
      <c r="G33" s="667"/>
      <c r="H33" s="676"/>
      <c r="I33" s="675"/>
      <c r="J33" s="667"/>
      <c r="K33" s="674"/>
      <c r="L33" s="662"/>
      <c r="M33" s="580"/>
      <c r="N33" s="580"/>
      <c r="O33" s="580"/>
    </row>
    <row r="34" spans="1:15">
      <c r="A34" s="602" t="s">
        <v>410</v>
      </c>
      <c r="B34" s="585"/>
      <c r="C34" s="667"/>
      <c r="D34" s="667"/>
      <c r="E34" s="674"/>
      <c r="F34" s="675"/>
      <c r="G34" s="667"/>
      <c r="H34" s="676"/>
      <c r="I34" s="675"/>
      <c r="J34" s="667"/>
      <c r="K34" s="674"/>
      <c r="L34" s="662"/>
      <c r="M34" s="580"/>
      <c r="N34" s="580"/>
      <c r="O34" s="580"/>
    </row>
    <row r="35" spans="1:15">
      <c r="A35" s="602" t="s">
        <v>411</v>
      </c>
      <c r="B35" s="585"/>
      <c r="C35" s="667"/>
      <c r="D35" s="667"/>
      <c r="E35" s="674"/>
      <c r="F35" s="675"/>
      <c r="G35" s="667"/>
      <c r="H35" s="676"/>
      <c r="I35" s="675"/>
      <c r="J35" s="667"/>
      <c r="K35" s="674"/>
      <c r="L35" s="662"/>
      <c r="M35" s="580"/>
      <c r="N35" s="580"/>
      <c r="O35" s="580"/>
    </row>
    <row r="36" spans="1:15">
      <c r="A36" s="602" t="s">
        <v>412</v>
      </c>
      <c r="B36" s="585">
        <v>7</v>
      </c>
      <c r="C36" s="667"/>
      <c r="D36" s="667"/>
      <c r="E36" s="674"/>
      <c r="F36" s="675"/>
      <c r="G36" s="667"/>
      <c r="H36" s="676"/>
      <c r="I36" s="675"/>
      <c r="J36" s="667"/>
      <c r="K36" s="674"/>
      <c r="L36" s="662"/>
      <c r="M36" s="580"/>
      <c r="N36" s="580"/>
      <c r="O36" s="580"/>
    </row>
    <row r="37" spans="1:15">
      <c r="A37" s="602" t="s">
        <v>82</v>
      </c>
      <c r="B37" s="585"/>
      <c r="C37" s="667"/>
      <c r="D37" s="667"/>
      <c r="E37" s="674"/>
      <c r="F37" s="675"/>
      <c r="G37" s="667"/>
      <c r="H37" s="676"/>
      <c r="I37" s="675"/>
      <c r="J37" s="667"/>
      <c r="K37" s="674"/>
      <c r="L37" s="662"/>
      <c r="M37" s="580"/>
      <c r="N37" s="580"/>
      <c r="O37" s="620"/>
    </row>
    <row r="38" spans="1:15">
      <c r="A38" s="602" t="s">
        <v>413</v>
      </c>
      <c r="B38" s="585"/>
      <c r="C38" s="667"/>
      <c r="D38" s="667"/>
      <c r="E38" s="674"/>
      <c r="F38" s="675"/>
      <c r="G38" s="667"/>
      <c r="H38" s="676"/>
      <c r="I38" s="675"/>
      <c r="J38" s="667"/>
      <c r="K38" s="674"/>
      <c r="L38" s="662"/>
      <c r="M38" s="580"/>
      <c r="N38" s="580"/>
      <c r="O38" s="580"/>
    </row>
    <row r="39" spans="1:15">
      <c r="A39" s="602" t="s">
        <v>414</v>
      </c>
      <c r="B39" s="585"/>
      <c r="C39" s="667"/>
      <c r="D39" s="667"/>
      <c r="E39" s="674"/>
      <c r="F39" s="675"/>
      <c r="G39" s="667"/>
      <c r="H39" s="676"/>
      <c r="I39" s="675"/>
      <c r="J39" s="667"/>
      <c r="K39" s="674"/>
      <c r="L39" s="662"/>
      <c r="M39" s="580"/>
      <c r="N39" s="580"/>
      <c r="O39" s="580"/>
    </row>
    <row r="40" spans="1:15">
      <c r="A40" s="602" t="s">
        <v>415</v>
      </c>
      <c r="B40" s="585">
        <v>8</v>
      </c>
      <c r="C40" s="667"/>
      <c r="D40" s="667"/>
      <c r="E40" s="674"/>
      <c r="F40" s="675"/>
      <c r="G40" s="667"/>
      <c r="H40" s="676"/>
      <c r="I40" s="675"/>
      <c r="J40" s="667"/>
      <c r="K40" s="674"/>
      <c r="L40" s="620"/>
      <c r="M40" s="580"/>
      <c r="N40" s="580"/>
      <c r="O40" s="580"/>
    </row>
    <row r="41" spans="1:15">
      <c r="A41" s="602" t="s">
        <v>79</v>
      </c>
      <c r="B41" s="585"/>
      <c r="C41" s="678"/>
      <c r="D41" s="678"/>
      <c r="E41" s="679"/>
      <c r="F41" s="680"/>
      <c r="G41" s="678"/>
      <c r="H41" s="681"/>
      <c r="I41" s="680"/>
      <c r="J41" s="678"/>
      <c r="K41" s="679"/>
      <c r="L41" s="662"/>
      <c r="M41" s="580"/>
      <c r="N41" s="580"/>
      <c r="O41" s="580"/>
    </row>
    <row r="42" spans="1:15">
      <c r="A42" s="604"/>
      <c r="B42" s="585"/>
      <c r="C42" s="588"/>
      <c r="D42" s="588"/>
      <c r="E42" s="589"/>
      <c r="F42" s="590"/>
      <c r="G42" s="588"/>
      <c r="H42" s="587"/>
      <c r="I42" s="590"/>
      <c r="J42" s="588"/>
      <c r="K42" s="589"/>
      <c r="L42" s="620"/>
      <c r="M42" s="580"/>
      <c r="N42" s="580"/>
      <c r="O42" s="580"/>
    </row>
    <row r="43" spans="1:15">
      <c r="A43" s="601" t="s">
        <v>249</v>
      </c>
      <c r="B43" s="585"/>
      <c r="C43" s="588">
        <v>0</v>
      </c>
      <c r="D43" s="588">
        <v>0</v>
      </c>
      <c r="E43" s="589">
        <v>0</v>
      </c>
      <c r="F43" s="590">
        <v>0</v>
      </c>
      <c r="G43" s="588">
        <v>0</v>
      </c>
      <c r="H43" s="587">
        <v>0</v>
      </c>
      <c r="I43" s="590">
        <v>0</v>
      </c>
      <c r="J43" s="588">
        <v>0</v>
      </c>
      <c r="K43" s="589">
        <v>0</v>
      </c>
      <c r="L43" s="620"/>
      <c r="M43" s="580"/>
      <c r="N43" s="580"/>
      <c r="O43" s="580"/>
    </row>
    <row r="44" spans="1:15">
      <c r="A44" s="602" t="s">
        <v>416</v>
      </c>
      <c r="B44" s="585"/>
      <c r="C44" s="673"/>
      <c r="D44" s="673"/>
      <c r="E44" s="689"/>
      <c r="F44" s="690"/>
      <c r="G44" s="673"/>
      <c r="H44" s="691"/>
      <c r="I44" s="690"/>
      <c r="J44" s="673"/>
      <c r="K44" s="689"/>
      <c r="L44" s="620"/>
      <c r="M44" s="580"/>
      <c r="N44" s="580"/>
      <c r="O44" s="580"/>
    </row>
    <row r="45" spans="1:15">
      <c r="A45" s="603" t="s">
        <v>79</v>
      </c>
      <c r="B45" s="585">
        <v>9</v>
      </c>
      <c r="C45" s="677"/>
      <c r="D45" s="677"/>
      <c r="E45" s="692"/>
      <c r="F45" s="693"/>
      <c r="G45" s="677"/>
      <c r="H45" s="694"/>
      <c r="I45" s="693"/>
      <c r="J45" s="677"/>
      <c r="K45" s="692"/>
      <c r="L45" s="620"/>
      <c r="M45" s="580"/>
      <c r="N45" s="580"/>
      <c r="O45" s="580"/>
    </row>
    <row r="46" spans="1:15">
      <c r="A46" s="634"/>
      <c r="B46" s="585"/>
      <c r="C46" s="588"/>
      <c r="D46" s="588"/>
      <c r="E46" s="589"/>
      <c r="F46" s="590"/>
      <c r="G46" s="588"/>
      <c r="H46" s="587"/>
      <c r="I46" s="590"/>
      <c r="J46" s="588"/>
      <c r="K46" s="589"/>
      <c r="L46" s="620"/>
      <c r="M46" s="580"/>
      <c r="N46" s="580"/>
      <c r="O46" s="580"/>
    </row>
    <row r="47" spans="1:15">
      <c r="A47" s="633" t="s">
        <v>250</v>
      </c>
      <c r="B47" s="585"/>
      <c r="C47" s="592">
        <v>0</v>
      </c>
      <c r="D47" s="592">
        <v>0</v>
      </c>
      <c r="E47" s="593">
        <v>0</v>
      </c>
      <c r="F47" s="594">
        <v>0</v>
      </c>
      <c r="G47" s="592">
        <v>0</v>
      </c>
      <c r="H47" s="591">
        <v>0</v>
      </c>
      <c r="I47" s="594">
        <v>0</v>
      </c>
      <c r="J47" s="592">
        <v>0</v>
      </c>
      <c r="K47" s="593">
        <v>0</v>
      </c>
      <c r="L47" s="620"/>
      <c r="M47" s="580"/>
      <c r="N47" s="580"/>
      <c r="O47" s="580"/>
    </row>
    <row r="48" spans="1:15">
      <c r="A48" s="603" t="s">
        <v>417</v>
      </c>
      <c r="B48" s="585"/>
      <c r="C48" s="672"/>
      <c r="D48" s="672"/>
      <c r="E48" s="684"/>
      <c r="F48" s="687"/>
      <c r="G48" s="672"/>
      <c r="H48" s="688"/>
      <c r="I48" s="687"/>
      <c r="J48" s="672"/>
      <c r="K48" s="684"/>
      <c r="L48" s="662"/>
      <c r="M48" s="580"/>
      <c r="N48" s="580"/>
      <c r="O48" s="580"/>
    </row>
    <row r="49" spans="1:12">
      <c r="A49" s="603" t="s">
        <v>79</v>
      </c>
      <c r="B49" s="585"/>
      <c r="C49" s="678"/>
      <c r="D49" s="678"/>
      <c r="E49" s="679"/>
      <c r="F49" s="680"/>
      <c r="G49" s="678"/>
      <c r="H49" s="681"/>
      <c r="I49" s="680"/>
      <c r="J49" s="678"/>
      <c r="K49" s="679"/>
      <c r="L49" s="620"/>
    </row>
    <row r="50" spans="1:12">
      <c r="A50" s="634"/>
      <c r="B50" s="585"/>
      <c r="C50" s="588"/>
      <c r="D50" s="588"/>
      <c r="E50" s="589"/>
      <c r="F50" s="590"/>
      <c r="G50" s="588"/>
      <c r="H50" s="587"/>
      <c r="I50" s="590"/>
      <c r="J50" s="588"/>
      <c r="K50" s="589"/>
      <c r="L50" s="620"/>
    </row>
    <row r="51" spans="1:12">
      <c r="A51" s="633" t="s">
        <v>251</v>
      </c>
      <c r="B51" s="585"/>
      <c r="C51" s="592">
        <v>0</v>
      </c>
      <c r="D51" s="592">
        <v>0</v>
      </c>
      <c r="E51" s="593">
        <v>0</v>
      </c>
      <c r="F51" s="594">
        <v>0</v>
      </c>
      <c r="G51" s="592">
        <v>0</v>
      </c>
      <c r="H51" s="591">
        <v>0</v>
      </c>
      <c r="I51" s="594">
        <v>0</v>
      </c>
      <c r="J51" s="592">
        <v>0</v>
      </c>
      <c r="K51" s="593">
        <v>0</v>
      </c>
      <c r="L51" s="620"/>
    </row>
    <row r="52" spans="1:12">
      <c r="A52" s="603" t="s">
        <v>418</v>
      </c>
      <c r="B52" s="585"/>
      <c r="C52" s="672"/>
      <c r="D52" s="672"/>
      <c r="E52" s="684"/>
      <c r="F52" s="687"/>
      <c r="G52" s="672"/>
      <c r="H52" s="688"/>
      <c r="I52" s="687"/>
      <c r="J52" s="672"/>
      <c r="K52" s="684"/>
      <c r="L52" s="662"/>
    </row>
    <row r="53" spans="1:12">
      <c r="A53" s="603" t="s">
        <v>419</v>
      </c>
      <c r="B53" s="585">
        <v>10</v>
      </c>
      <c r="C53" s="641">
        <v>0</v>
      </c>
      <c r="D53" s="641">
        <v>0</v>
      </c>
      <c r="E53" s="642">
        <v>0</v>
      </c>
      <c r="F53" s="643">
        <v>0</v>
      </c>
      <c r="G53" s="641">
        <v>0</v>
      </c>
      <c r="H53" s="644">
        <v>0</v>
      </c>
      <c r="I53" s="643">
        <v>0</v>
      </c>
      <c r="J53" s="641">
        <v>0</v>
      </c>
      <c r="K53" s="642">
        <v>0</v>
      </c>
      <c r="L53" s="620"/>
    </row>
    <row r="54" spans="1:12">
      <c r="A54" s="603" t="s">
        <v>420</v>
      </c>
      <c r="B54" s="585"/>
      <c r="C54" s="667"/>
      <c r="D54" s="667"/>
      <c r="E54" s="674"/>
      <c r="F54" s="675"/>
      <c r="G54" s="667"/>
      <c r="H54" s="676"/>
      <c r="I54" s="675"/>
      <c r="J54" s="667"/>
      <c r="K54" s="674"/>
      <c r="L54" s="662"/>
    </row>
    <row r="55" spans="1:12">
      <c r="A55" s="603" t="s">
        <v>421</v>
      </c>
      <c r="B55" s="585"/>
      <c r="C55" s="667"/>
      <c r="D55" s="667"/>
      <c r="E55" s="674"/>
      <c r="F55" s="675"/>
      <c r="G55" s="667"/>
      <c r="H55" s="676"/>
      <c r="I55" s="675"/>
      <c r="J55" s="667"/>
      <c r="K55" s="674"/>
      <c r="L55" s="662"/>
    </row>
    <row r="56" spans="1:12">
      <c r="A56" s="603" t="s">
        <v>422</v>
      </c>
      <c r="B56" s="585"/>
      <c r="C56" s="667"/>
      <c r="D56" s="667"/>
      <c r="E56" s="674"/>
      <c r="F56" s="675"/>
      <c r="G56" s="667"/>
      <c r="H56" s="676"/>
      <c r="I56" s="675"/>
      <c r="J56" s="667"/>
      <c r="K56" s="674"/>
      <c r="L56" s="662"/>
    </row>
    <row r="57" spans="1:12">
      <c r="A57" s="603" t="s">
        <v>93</v>
      </c>
      <c r="B57" s="585"/>
      <c r="C57" s="667"/>
      <c r="D57" s="667"/>
      <c r="E57" s="674"/>
      <c r="F57" s="675"/>
      <c r="G57" s="667"/>
      <c r="H57" s="676"/>
      <c r="I57" s="675"/>
      <c r="J57" s="667"/>
      <c r="K57" s="674"/>
      <c r="L57" s="662"/>
    </row>
    <row r="58" spans="1:12">
      <c r="A58" s="603" t="s">
        <v>94</v>
      </c>
      <c r="B58" s="585"/>
      <c r="C58" s="667"/>
      <c r="D58" s="667"/>
      <c r="E58" s="674"/>
      <c r="F58" s="675"/>
      <c r="G58" s="667"/>
      <c r="H58" s="676"/>
      <c r="I58" s="675"/>
      <c r="J58" s="667"/>
      <c r="K58" s="674"/>
      <c r="L58" s="661"/>
    </row>
    <row r="59" spans="1:12">
      <c r="A59" s="603" t="s">
        <v>423</v>
      </c>
      <c r="B59" s="585"/>
      <c r="C59" s="667"/>
      <c r="D59" s="667"/>
      <c r="E59" s="674"/>
      <c r="F59" s="675"/>
      <c r="G59" s="667"/>
      <c r="H59" s="676"/>
      <c r="I59" s="675"/>
      <c r="J59" s="667"/>
      <c r="K59" s="674"/>
      <c r="L59" s="662"/>
    </row>
    <row r="60" spans="1:12">
      <c r="A60" s="603" t="s">
        <v>424</v>
      </c>
      <c r="B60" s="585"/>
      <c r="C60" s="667"/>
      <c r="D60" s="667"/>
      <c r="E60" s="674"/>
      <c r="F60" s="675"/>
      <c r="G60" s="667"/>
      <c r="H60" s="676"/>
      <c r="I60" s="675"/>
      <c r="J60" s="667"/>
      <c r="K60" s="674"/>
      <c r="L60" s="662"/>
    </row>
    <row r="61" spans="1:12">
      <c r="A61" s="603" t="s">
        <v>425</v>
      </c>
      <c r="B61" s="585"/>
      <c r="C61" s="667"/>
      <c r="D61" s="667"/>
      <c r="E61" s="674"/>
      <c r="F61" s="675"/>
      <c r="G61" s="667"/>
      <c r="H61" s="676"/>
      <c r="I61" s="675"/>
      <c r="J61" s="667"/>
      <c r="K61" s="674"/>
      <c r="L61" s="662"/>
    </row>
    <row r="62" spans="1:12">
      <c r="A62" s="603" t="s">
        <v>426</v>
      </c>
      <c r="B62" s="585"/>
      <c r="C62" s="667"/>
      <c r="D62" s="667"/>
      <c r="E62" s="674"/>
      <c r="F62" s="675"/>
      <c r="G62" s="667"/>
      <c r="H62" s="676"/>
      <c r="I62" s="675"/>
      <c r="J62" s="667"/>
      <c r="K62" s="674"/>
      <c r="L62" s="662"/>
    </row>
    <row r="63" spans="1:12">
      <c r="A63" s="602" t="s">
        <v>79</v>
      </c>
      <c r="B63" s="585"/>
      <c r="C63" s="678"/>
      <c r="D63" s="678"/>
      <c r="E63" s="679"/>
      <c r="F63" s="680"/>
      <c r="G63" s="678"/>
      <c r="H63" s="681"/>
      <c r="I63" s="680"/>
      <c r="J63" s="678"/>
      <c r="K63" s="679"/>
      <c r="L63" s="662"/>
    </row>
    <row r="64" spans="1:12">
      <c r="A64" s="635"/>
      <c r="B64" s="585"/>
      <c r="C64" s="588"/>
      <c r="D64" s="588"/>
      <c r="E64" s="589"/>
      <c r="F64" s="590"/>
      <c r="G64" s="588"/>
      <c r="H64" s="587"/>
      <c r="I64" s="590"/>
      <c r="J64" s="588"/>
      <c r="K64" s="589"/>
      <c r="L64" s="620"/>
    </row>
    <row r="65" spans="1:12">
      <c r="A65" s="601" t="s">
        <v>427</v>
      </c>
      <c r="B65" s="585"/>
      <c r="C65" s="588">
        <v>0</v>
      </c>
      <c r="D65" s="588">
        <v>0</v>
      </c>
      <c r="E65" s="589">
        <v>0</v>
      </c>
      <c r="F65" s="590">
        <v>0</v>
      </c>
      <c r="G65" s="588">
        <v>0</v>
      </c>
      <c r="H65" s="587">
        <v>0</v>
      </c>
      <c r="I65" s="590">
        <v>0</v>
      </c>
      <c r="J65" s="588">
        <v>0</v>
      </c>
      <c r="K65" s="589">
        <v>0</v>
      </c>
      <c r="L65" s="620"/>
    </row>
    <row r="66" spans="1:12">
      <c r="A66" s="686" t="s">
        <v>428</v>
      </c>
      <c r="B66" s="585"/>
      <c r="C66" s="672"/>
      <c r="D66" s="672"/>
      <c r="E66" s="684"/>
      <c r="F66" s="687"/>
      <c r="G66" s="672"/>
      <c r="H66" s="688"/>
      <c r="I66" s="687"/>
      <c r="J66" s="672"/>
      <c r="K66" s="684"/>
      <c r="L66" s="620"/>
    </row>
    <row r="67" spans="1:12">
      <c r="A67" s="686"/>
      <c r="B67" s="585"/>
      <c r="C67" s="678"/>
      <c r="D67" s="678"/>
      <c r="E67" s="679"/>
      <c r="F67" s="680"/>
      <c r="G67" s="678"/>
      <c r="H67" s="681"/>
      <c r="I67" s="680"/>
      <c r="J67" s="678"/>
      <c r="K67" s="679"/>
      <c r="L67" s="620"/>
    </row>
    <row r="68" spans="1:12">
      <c r="A68" s="635"/>
      <c r="B68" s="585"/>
      <c r="C68" s="588"/>
      <c r="D68" s="588"/>
      <c r="E68" s="589"/>
      <c r="F68" s="590"/>
      <c r="G68" s="588"/>
      <c r="H68" s="587"/>
      <c r="I68" s="590"/>
      <c r="J68" s="588"/>
      <c r="K68" s="589"/>
      <c r="L68" s="620"/>
    </row>
    <row r="69" spans="1:12">
      <c r="A69" s="601" t="s">
        <v>253</v>
      </c>
      <c r="B69" s="585"/>
      <c r="C69" s="588">
        <v>0</v>
      </c>
      <c r="D69" s="588">
        <v>0</v>
      </c>
      <c r="E69" s="589">
        <v>0</v>
      </c>
      <c r="F69" s="590">
        <v>0</v>
      </c>
      <c r="G69" s="588">
        <v>0</v>
      </c>
      <c r="H69" s="587">
        <v>0</v>
      </c>
      <c r="I69" s="590">
        <v>0</v>
      </c>
      <c r="J69" s="588">
        <v>0</v>
      </c>
      <c r="K69" s="589">
        <v>0</v>
      </c>
      <c r="L69" s="620"/>
    </row>
    <row r="70" spans="1:12">
      <c r="A70" s="686" t="s">
        <v>428</v>
      </c>
      <c r="B70" s="585"/>
      <c r="C70" s="672"/>
      <c r="D70" s="672"/>
      <c r="E70" s="684"/>
      <c r="F70" s="687"/>
      <c r="G70" s="672"/>
      <c r="H70" s="688"/>
      <c r="I70" s="687"/>
      <c r="J70" s="672"/>
      <c r="K70" s="684"/>
      <c r="L70" s="620"/>
    </row>
    <row r="71" spans="1:12">
      <c r="A71" s="686"/>
      <c r="B71" s="585"/>
      <c r="C71" s="678"/>
      <c r="D71" s="678"/>
      <c r="E71" s="679"/>
      <c r="F71" s="680"/>
      <c r="G71" s="678"/>
      <c r="H71" s="681"/>
      <c r="I71" s="680"/>
      <c r="J71" s="678"/>
      <c r="K71" s="679"/>
      <c r="L71" s="620"/>
    </row>
    <row r="72" spans="1:12">
      <c r="A72" s="604"/>
      <c r="B72" s="585"/>
      <c r="C72" s="588"/>
      <c r="D72" s="588"/>
      <c r="E72" s="589"/>
      <c r="F72" s="590"/>
      <c r="G72" s="588"/>
      <c r="H72" s="587"/>
      <c r="I72" s="590"/>
      <c r="J72" s="588"/>
      <c r="K72" s="589"/>
      <c r="L72" s="620"/>
    </row>
    <row r="73" spans="1:12">
      <c r="A73" s="601" t="s">
        <v>254</v>
      </c>
      <c r="B73" s="585"/>
      <c r="C73" s="588">
        <v>0</v>
      </c>
      <c r="D73" s="588">
        <v>0</v>
      </c>
      <c r="E73" s="589">
        <v>0</v>
      </c>
      <c r="F73" s="590">
        <v>0</v>
      </c>
      <c r="G73" s="588">
        <v>0</v>
      </c>
      <c r="H73" s="587">
        <v>0</v>
      </c>
      <c r="I73" s="590">
        <v>0</v>
      </c>
      <c r="J73" s="588">
        <v>0</v>
      </c>
      <c r="K73" s="589">
        <v>0</v>
      </c>
      <c r="L73" s="620"/>
    </row>
    <row r="74" spans="1:12">
      <c r="A74" s="603" t="s">
        <v>429</v>
      </c>
      <c r="B74" s="585"/>
      <c r="C74" s="672"/>
      <c r="D74" s="672"/>
      <c r="E74" s="684"/>
      <c r="F74" s="687"/>
      <c r="G74" s="672"/>
      <c r="H74" s="688"/>
      <c r="I74" s="687"/>
      <c r="J74" s="672"/>
      <c r="K74" s="684"/>
      <c r="L74" s="620"/>
    </row>
    <row r="75" spans="1:12">
      <c r="A75" s="685" t="s">
        <v>430</v>
      </c>
      <c r="B75" s="585"/>
      <c r="C75" s="678"/>
      <c r="D75" s="678"/>
      <c r="E75" s="679"/>
      <c r="F75" s="680"/>
      <c r="G75" s="678"/>
      <c r="H75" s="681"/>
      <c r="I75" s="680"/>
      <c r="J75" s="678"/>
      <c r="K75" s="679"/>
      <c r="L75" s="620"/>
    </row>
    <row r="76" spans="1:12">
      <c r="A76" s="604"/>
      <c r="B76" s="585"/>
      <c r="C76" s="592"/>
      <c r="D76" s="592"/>
      <c r="E76" s="593"/>
      <c r="F76" s="594"/>
      <c r="G76" s="592"/>
      <c r="H76" s="591"/>
      <c r="I76" s="594"/>
      <c r="J76" s="592"/>
      <c r="K76" s="593"/>
      <c r="L76" s="620"/>
    </row>
    <row r="77" spans="1:12">
      <c r="A77" s="605" t="s">
        <v>436</v>
      </c>
      <c r="B77" s="595">
        <v>1</v>
      </c>
      <c r="C77" s="598">
        <v>0</v>
      </c>
      <c r="D77" s="598">
        <v>0</v>
      </c>
      <c r="E77" s="596">
        <v>0</v>
      </c>
      <c r="F77" s="597">
        <v>18803800</v>
      </c>
      <c r="G77" s="598">
        <v>35403800</v>
      </c>
      <c r="H77" s="599">
        <v>35403800</v>
      </c>
      <c r="I77" s="597">
        <v>19000000</v>
      </c>
      <c r="J77" s="598">
        <v>20885200</v>
      </c>
      <c r="K77" s="596">
        <v>20460000</v>
      </c>
      <c r="L77" s="620"/>
    </row>
    <row r="78" spans="1:12">
      <c r="A78" s="664"/>
      <c r="B78" s="630"/>
      <c r="C78" s="591"/>
      <c r="D78" s="591"/>
      <c r="E78" s="591"/>
      <c r="F78" s="591"/>
      <c r="G78" s="591"/>
      <c r="H78" s="591"/>
      <c r="I78" s="591"/>
      <c r="J78" s="591"/>
      <c r="K78" s="591"/>
      <c r="L78" s="620"/>
    </row>
    <row r="79" spans="1:12">
      <c r="A79" s="665" t="s">
        <v>419</v>
      </c>
      <c r="B79" s="703"/>
      <c r="C79" s="654">
        <v>0</v>
      </c>
      <c r="D79" s="653">
        <v>0</v>
      </c>
      <c r="E79" s="666">
        <v>0</v>
      </c>
      <c r="F79" s="654">
        <v>0</v>
      </c>
      <c r="G79" s="653">
        <v>0</v>
      </c>
      <c r="H79" s="666">
        <v>0</v>
      </c>
      <c r="I79" s="654">
        <v>0</v>
      </c>
      <c r="J79" s="653">
        <v>0</v>
      </c>
      <c r="K79" s="666">
        <v>0</v>
      </c>
      <c r="L79" s="620"/>
    </row>
    <row r="80" spans="1:12">
      <c r="A80" s="586" t="s">
        <v>321</v>
      </c>
      <c r="B80" s="704"/>
      <c r="C80" s="669"/>
      <c r="D80" s="667"/>
      <c r="E80" s="670"/>
      <c r="F80" s="669"/>
      <c r="G80" s="667"/>
      <c r="H80" s="670"/>
      <c r="I80" s="669"/>
      <c r="J80" s="667"/>
      <c r="K80" s="670"/>
      <c r="L80" s="620"/>
    </row>
    <row r="81" spans="1:12">
      <c r="A81" s="586" t="s">
        <v>77</v>
      </c>
      <c r="B81" s="704"/>
      <c r="C81" s="669"/>
      <c r="D81" s="667"/>
      <c r="E81" s="670"/>
      <c r="F81" s="669"/>
      <c r="G81" s="667"/>
      <c r="H81" s="670"/>
      <c r="I81" s="669"/>
      <c r="J81" s="667"/>
      <c r="K81" s="670"/>
      <c r="L81" s="620"/>
    </row>
    <row r="82" spans="1:12">
      <c r="A82" s="586" t="s">
        <v>432</v>
      </c>
      <c r="B82" s="704"/>
      <c r="C82" s="669"/>
      <c r="D82" s="667"/>
      <c r="E82" s="670"/>
      <c r="F82" s="669"/>
      <c r="G82" s="667"/>
      <c r="H82" s="670"/>
      <c r="I82" s="669"/>
      <c r="J82" s="667"/>
      <c r="K82" s="670"/>
      <c r="L82" s="620"/>
    </row>
    <row r="83" spans="1:12">
      <c r="A83" s="655" t="s">
        <v>433</v>
      </c>
      <c r="B83" s="705"/>
      <c r="C83" s="683"/>
      <c r="D83" s="682"/>
      <c r="E83" s="695"/>
      <c r="F83" s="683"/>
      <c r="G83" s="682"/>
      <c r="H83" s="695"/>
      <c r="I83" s="683"/>
      <c r="J83" s="682"/>
      <c r="K83" s="695"/>
      <c r="L83" s="620"/>
    </row>
    <row r="84" spans="1:12">
      <c r="A84" s="616"/>
      <c r="B84" s="628"/>
      <c r="C84" s="656"/>
      <c r="D84" s="656"/>
      <c r="E84" s="656"/>
      <c r="F84" s="656"/>
      <c r="G84" s="656"/>
      <c r="H84" s="656"/>
      <c r="I84" s="656"/>
      <c r="J84" s="656"/>
      <c r="K84" s="656"/>
      <c r="L84" s="619"/>
    </row>
    <row r="85" spans="1:12">
      <c r="A85" s="706" t="s">
        <v>264</v>
      </c>
      <c r="B85" s="707"/>
      <c r="C85" s="708">
        <v>0</v>
      </c>
      <c r="D85" s="708">
        <v>0</v>
      </c>
      <c r="E85" s="709">
        <v>0</v>
      </c>
      <c r="F85" s="710">
        <v>0.82373994353264834</v>
      </c>
      <c r="G85" s="708">
        <v>0.89647235477250653</v>
      </c>
      <c r="H85" s="711">
        <v>0.89647235477250653</v>
      </c>
      <c r="I85" s="712">
        <v>0.45038575421325799</v>
      </c>
      <c r="J85" s="708">
        <v>0.69213243347588993</v>
      </c>
      <c r="K85" s="709">
        <v>0.81578947368421051</v>
      </c>
      <c r="L85" s="663"/>
    </row>
    <row r="86" spans="1:12">
      <c r="A86" s="696" t="s">
        <v>265</v>
      </c>
      <c r="B86" s="697"/>
      <c r="C86" s="698">
        <v>0</v>
      </c>
      <c r="D86" s="698">
        <v>0</v>
      </c>
      <c r="E86" s="699">
        <v>0</v>
      </c>
      <c r="F86" s="700">
        <v>4.000808510638298</v>
      </c>
      <c r="G86" s="698">
        <v>2.3602533333333335</v>
      </c>
      <c r="H86" s="701">
        <v>2.3602533333333335</v>
      </c>
      <c r="I86" s="702">
        <v>2.5333333333333332</v>
      </c>
      <c r="J86" s="698">
        <v>2.7846933333333332</v>
      </c>
      <c r="K86" s="699">
        <v>2.7280000000000002</v>
      </c>
      <c r="L86" s="646"/>
    </row>
    <row r="87" spans="1:12">
      <c r="A87" s="606" t="s">
        <v>152</v>
      </c>
      <c r="B87" s="600"/>
      <c r="C87" s="629">
        <v>-0.76999999955296516</v>
      </c>
      <c r="D87" s="629">
        <v>-1.0300000011920929</v>
      </c>
      <c r="E87" s="629">
        <v>0.39000000059604645</v>
      </c>
      <c r="F87" s="629">
        <v>0</v>
      </c>
      <c r="G87" s="629">
        <v>0</v>
      </c>
      <c r="H87" s="629">
        <v>0</v>
      </c>
      <c r="I87" s="629">
        <v>0</v>
      </c>
      <c r="J87" s="629">
        <v>0</v>
      </c>
      <c r="K87" s="629">
        <v>0</v>
      </c>
    </row>
    <row r="88" spans="1:12">
      <c r="A88" s="580"/>
      <c r="B88" s="580"/>
      <c r="C88" s="580"/>
      <c r="D88" s="580"/>
      <c r="E88" s="580"/>
      <c r="F88" s="580"/>
      <c r="G88" s="580"/>
      <c r="H88" s="580"/>
      <c r="I88" s="580"/>
      <c r="J88" s="580"/>
      <c r="K88" s="580"/>
    </row>
    <row r="89" spans="1:12">
      <c r="A89" s="580"/>
      <c r="B89" s="580"/>
      <c r="C89" s="580"/>
      <c r="D89" s="580"/>
      <c r="E89" s="580"/>
      <c r="F89" s="580"/>
      <c r="G89" s="580"/>
      <c r="H89" s="580"/>
      <c r="I89" s="580"/>
      <c r="J89" s="580"/>
      <c r="K89" s="580"/>
    </row>
    <row r="90" spans="1:12">
      <c r="A90" s="580"/>
      <c r="B90" s="580"/>
      <c r="C90" s="580"/>
      <c r="D90" s="580"/>
      <c r="E90" s="580"/>
      <c r="F90" s="580"/>
      <c r="G90" s="580"/>
      <c r="H90" s="580"/>
      <c r="I90" s="580"/>
      <c r="J90" s="580"/>
      <c r="K90" s="580"/>
    </row>
    <row r="91" spans="1:12">
      <c r="A91" s="580"/>
      <c r="B91" s="580"/>
      <c r="C91" s="580"/>
      <c r="D91" s="580"/>
      <c r="E91" s="580"/>
      <c r="F91" s="580"/>
      <c r="G91" s="580"/>
      <c r="H91" s="580"/>
      <c r="I91" s="580"/>
      <c r="J91" s="580"/>
      <c r="K91" s="580"/>
    </row>
    <row r="92" spans="1:12">
      <c r="A92" s="580"/>
      <c r="B92" s="580"/>
      <c r="C92" s="580"/>
      <c r="D92" s="580"/>
      <c r="E92" s="580"/>
      <c r="F92" s="580"/>
      <c r="G92" s="580"/>
      <c r="H92" s="580"/>
      <c r="I92" s="580"/>
      <c r="J92" s="580"/>
      <c r="K92" s="580"/>
    </row>
    <row r="93" spans="1:12">
      <c r="A93" s="580"/>
      <c r="B93" s="580"/>
      <c r="C93" s="580"/>
      <c r="D93" s="580"/>
      <c r="E93" s="580"/>
      <c r="F93" s="580"/>
      <c r="G93" s="580"/>
      <c r="H93" s="580"/>
      <c r="I93" s="580"/>
      <c r="J93" s="580"/>
      <c r="K93" s="580"/>
    </row>
    <row r="94" spans="1:12">
      <c r="A94" s="580"/>
      <c r="B94" s="580"/>
      <c r="C94" s="580"/>
      <c r="D94" s="580"/>
      <c r="E94" s="580"/>
      <c r="F94" s="580"/>
      <c r="G94" s="580"/>
      <c r="H94" s="580"/>
      <c r="I94" s="580"/>
      <c r="J94" s="580"/>
      <c r="K94" s="580"/>
    </row>
    <row r="95" spans="1:12">
      <c r="A95" s="580"/>
      <c r="B95" s="580"/>
      <c r="C95" s="580"/>
      <c r="D95" s="580"/>
      <c r="E95" s="580"/>
      <c r="F95" s="580"/>
      <c r="G95" s="580"/>
      <c r="H95" s="580"/>
      <c r="I95" s="580"/>
      <c r="J95" s="580"/>
      <c r="K95" s="580"/>
    </row>
    <row r="96" spans="1:12">
      <c r="A96" s="580"/>
      <c r="B96" s="580"/>
      <c r="C96" s="580"/>
      <c r="D96" s="580"/>
      <c r="E96" s="580"/>
      <c r="F96" s="580"/>
      <c r="G96" s="580"/>
      <c r="H96" s="580"/>
      <c r="I96" s="580"/>
      <c r="J96" s="580"/>
      <c r="K96" s="580"/>
    </row>
    <row r="97" spans="1:11">
      <c r="A97" s="580"/>
      <c r="B97" s="580"/>
      <c r="C97" s="580"/>
      <c r="D97" s="580"/>
      <c r="E97" s="580"/>
      <c r="F97" s="580"/>
      <c r="G97" s="580"/>
      <c r="H97" s="580"/>
      <c r="I97" s="580"/>
      <c r="J97" s="580"/>
      <c r="K97" s="580"/>
    </row>
    <row r="98" spans="1:11">
      <c r="A98" s="580"/>
      <c r="B98" s="580"/>
      <c r="C98" s="580"/>
      <c r="D98" s="580"/>
      <c r="E98" s="580"/>
      <c r="F98" s="580"/>
      <c r="G98" s="580"/>
      <c r="H98" s="580"/>
      <c r="I98" s="580"/>
      <c r="J98" s="580"/>
      <c r="K98" s="580"/>
    </row>
    <row r="99" spans="1:11">
      <c r="A99" s="580"/>
      <c r="B99" s="580"/>
      <c r="C99" s="580"/>
      <c r="D99" s="580"/>
      <c r="E99" s="580"/>
      <c r="F99" s="580"/>
      <c r="G99" s="580"/>
      <c r="H99" s="580"/>
      <c r="I99" s="580"/>
      <c r="J99" s="580"/>
      <c r="K99" s="580"/>
    </row>
  </sheetData>
  <mergeCells count="2">
    <mergeCell ref="F2:H2"/>
    <mergeCell ref="I2:K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90"/>
  <sheetViews>
    <sheetView workbookViewId="0"/>
  </sheetViews>
  <sheetFormatPr defaultRowHeight="15"/>
  <cols>
    <col min="1" max="1" width="21.7109375" customWidth="1"/>
    <col min="2" max="2" width="3.5703125" customWidth="1"/>
  </cols>
  <sheetData>
    <row r="1" spans="1:12">
      <c r="A1" s="715" t="s">
        <v>437</v>
      </c>
      <c r="B1" s="715"/>
      <c r="C1" s="715"/>
      <c r="D1" s="715"/>
      <c r="E1" s="715"/>
      <c r="F1" s="715"/>
      <c r="G1" s="715"/>
      <c r="H1" s="715"/>
      <c r="I1" s="715"/>
      <c r="J1" s="715"/>
      <c r="K1" s="715"/>
      <c r="L1" s="713"/>
    </row>
    <row r="2" spans="1:12">
      <c r="A2" s="764" t="s">
        <v>0</v>
      </c>
      <c r="B2" s="758" t="s">
        <v>67</v>
      </c>
      <c r="C2" s="716" t="s">
        <v>1</v>
      </c>
      <c r="D2" s="761" t="s">
        <v>2</v>
      </c>
      <c r="E2" s="714" t="s">
        <v>3</v>
      </c>
      <c r="F2" s="1422" t="s">
        <v>4</v>
      </c>
      <c r="G2" s="1423"/>
      <c r="H2" s="1423"/>
      <c r="I2" s="1419" t="s">
        <v>5</v>
      </c>
      <c r="J2" s="1420"/>
      <c r="K2" s="1421"/>
      <c r="L2" s="713"/>
    </row>
    <row r="3" spans="1:12" ht="25.5">
      <c r="A3" s="717" t="s">
        <v>68</v>
      </c>
      <c r="B3" s="765">
        <v>1</v>
      </c>
      <c r="C3" s="753" t="s">
        <v>7</v>
      </c>
      <c r="D3" s="766" t="s">
        <v>7</v>
      </c>
      <c r="E3" s="754" t="s">
        <v>7</v>
      </c>
      <c r="F3" s="738" t="s">
        <v>8</v>
      </c>
      <c r="G3" s="753" t="s">
        <v>9</v>
      </c>
      <c r="H3" s="752" t="s">
        <v>10</v>
      </c>
      <c r="I3" s="738" t="s">
        <v>12</v>
      </c>
      <c r="J3" s="753" t="s">
        <v>13</v>
      </c>
      <c r="K3" s="754" t="s">
        <v>14</v>
      </c>
      <c r="L3" s="713"/>
    </row>
    <row r="4" spans="1:12">
      <c r="A4" s="763" t="s">
        <v>438</v>
      </c>
      <c r="B4" s="760"/>
      <c r="C4" s="773"/>
      <c r="D4" s="739"/>
      <c r="E4" s="742"/>
      <c r="F4" s="741"/>
      <c r="G4" s="739"/>
      <c r="H4" s="740"/>
      <c r="I4" s="741"/>
      <c r="J4" s="739"/>
      <c r="K4" s="742"/>
      <c r="L4" s="751"/>
    </row>
    <row r="5" spans="1:12">
      <c r="A5" s="733"/>
      <c r="B5" s="718"/>
      <c r="C5" s="743"/>
      <c r="D5" s="743"/>
      <c r="E5" s="746"/>
      <c r="F5" s="745"/>
      <c r="G5" s="743"/>
      <c r="H5" s="744"/>
      <c r="I5" s="745"/>
      <c r="J5" s="743"/>
      <c r="K5" s="746"/>
      <c r="L5" s="751"/>
    </row>
    <row r="6" spans="1:12">
      <c r="A6" s="733" t="s">
        <v>247</v>
      </c>
      <c r="B6" s="718"/>
      <c r="C6" s="755">
        <v>0</v>
      </c>
      <c r="D6" s="755">
        <v>1435941</v>
      </c>
      <c r="E6" s="748">
        <v>0</v>
      </c>
      <c r="F6" s="756">
        <v>4876965.9498999994</v>
      </c>
      <c r="G6" s="755">
        <v>3376965.9498999999</v>
      </c>
      <c r="H6" s="757">
        <v>3376965.9498999999</v>
      </c>
      <c r="I6" s="756">
        <v>5197189</v>
      </c>
      <c r="J6" s="755">
        <v>5489624.4380000001</v>
      </c>
      <c r="K6" s="748">
        <v>5784434.7088959999</v>
      </c>
      <c r="L6" s="788"/>
    </row>
    <row r="7" spans="1:12">
      <c r="A7" s="734" t="s">
        <v>388</v>
      </c>
      <c r="B7" s="718"/>
      <c r="C7" s="774">
        <v>0</v>
      </c>
      <c r="D7" s="774">
        <v>153072</v>
      </c>
      <c r="E7" s="784">
        <v>0</v>
      </c>
      <c r="F7" s="775">
        <v>1935000</v>
      </c>
      <c r="G7" s="774">
        <v>935000</v>
      </c>
      <c r="H7" s="776">
        <v>935000</v>
      </c>
      <c r="I7" s="785">
        <v>2051100</v>
      </c>
      <c r="J7" s="774">
        <v>2159808.2999999998</v>
      </c>
      <c r="K7" s="776">
        <v>2265638.9066999997</v>
      </c>
      <c r="L7" s="751"/>
    </row>
    <row r="8" spans="1:12">
      <c r="A8" s="779" t="s">
        <v>389</v>
      </c>
      <c r="B8" s="718"/>
      <c r="C8" s="792"/>
      <c r="D8" s="792">
        <v>140572</v>
      </c>
      <c r="E8" s="799"/>
      <c r="F8" s="800">
        <v>1875000</v>
      </c>
      <c r="G8" s="792">
        <v>875000</v>
      </c>
      <c r="H8" s="801">
        <v>875000</v>
      </c>
      <c r="I8" s="800">
        <v>1987500</v>
      </c>
      <c r="J8" s="792">
        <v>2092837.5</v>
      </c>
      <c r="K8" s="799">
        <v>2195386.5374999996</v>
      </c>
      <c r="L8" s="788"/>
    </row>
    <row r="9" spans="1:12">
      <c r="A9" s="779" t="s">
        <v>390</v>
      </c>
      <c r="B9" s="718"/>
      <c r="C9" s="792"/>
      <c r="D9" s="792">
        <v>12500</v>
      </c>
      <c r="E9" s="799"/>
      <c r="F9" s="800">
        <v>60000</v>
      </c>
      <c r="G9" s="792">
        <v>60000</v>
      </c>
      <c r="H9" s="801">
        <v>60000</v>
      </c>
      <c r="I9" s="800">
        <v>63600</v>
      </c>
      <c r="J9" s="792">
        <v>66970.8</v>
      </c>
      <c r="K9" s="799">
        <v>70252.369200000001</v>
      </c>
      <c r="L9" s="789"/>
    </row>
    <row r="10" spans="1:12">
      <c r="A10" s="734" t="s">
        <v>391</v>
      </c>
      <c r="B10" s="718"/>
      <c r="C10" s="768">
        <v>0</v>
      </c>
      <c r="D10" s="768">
        <v>588999</v>
      </c>
      <c r="E10" s="786">
        <v>0</v>
      </c>
      <c r="F10" s="772">
        <v>740000</v>
      </c>
      <c r="G10" s="768">
        <v>740000</v>
      </c>
      <c r="H10" s="777">
        <v>740000</v>
      </c>
      <c r="I10" s="787">
        <v>799205</v>
      </c>
      <c r="J10" s="768">
        <v>859842.64999999991</v>
      </c>
      <c r="K10" s="777">
        <v>923705.44449999998</v>
      </c>
      <c r="L10" s="789"/>
    </row>
    <row r="11" spans="1:12">
      <c r="A11" s="779" t="s">
        <v>392</v>
      </c>
      <c r="B11" s="718"/>
      <c r="C11" s="792"/>
      <c r="D11" s="792"/>
      <c r="E11" s="793"/>
      <c r="F11" s="794"/>
      <c r="G11" s="792"/>
      <c r="H11" s="795"/>
      <c r="I11" s="796"/>
      <c r="J11" s="792"/>
      <c r="K11" s="795"/>
      <c r="L11" s="789"/>
    </row>
    <row r="12" spans="1:12">
      <c r="A12" s="779" t="s">
        <v>393</v>
      </c>
      <c r="B12" s="718"/>
      <c r="C12" s="792"/>
      <c r="D12" s="793">
        <v>258030</v>
      </c>
      <c r="E12" s="793"/>
      <c r="F12" s="767">
        <v>530000</v>
      </c>
      <c r="G12" s="792">
        <v>530000</v>
      </c>
      <c r="H12" s="795">
        <v>530000</v>
      </c>
      <c r="I12" s="796">
        <v>561800</v>
      </c>
      <c r="J12" s="792">
        <v>591575</v>
      </c>
      <c r="K12" s="795">
        <v>620563</v>
      </c>
      <c r="L12" s="789"/>
    </row>
    <row r="13" spans="1:12">
      <c r="A13" s="779" t="s">
        <v>78</v>
      </c>
      <c r="B13" s="718"/>
      <c r="C13" s="792"/>
      <c r="D13" s="793">
        <v>330969</v>
      </c>
      <c r="E13" s="793"/>
      <c r="F13" s="767">
        <v>210000</v>
      </c>
      <c r="G13" s="792">
        <v>210000</v>
      </c>
      <c r="H13" s="795">
        <v>210000</v>
      </c>
      <c r="I13" s="796">
        <v>237405</v>
      </c>
      <c r="J13" s="792">
        <v>268267.64999999997</v>
      </c>
      <c r="K13" s="795">
        <v>303142.44449999993</v>
      </c>
      <c r="L13" s="789"/>
    </row>
    <row r="14" spans="1:12">
      <c r="A14" s="735" t="s">
        <v>394</v>
      </c>
      <c r="B14" s="749"/>
      <c r="C14" s="768">
        <v>0</v>
      </c>
      <c r="D14" s="768">
        <v>228735</v>
      </c>
      <c r="E14" s="786">
        <v>0</v>
      </c>
      <c r="F14" s="772">
        <v>686965.94990000001</v>
      </c>
      <c r="G14" s="768">
        <v>686965.94990000001</v>
      </c>
      <c r="H14" s="777">
        <v>686965.94990000001</v>
      </c>
      <c r="I14" s="787">
        <v>846984</v>
      </c>
      <c r="J14" s="768">
        <v>891543.38800000004</v>
      </c>
      <c r="K14" s="777">
        <v>936272.90519600001</v>
      </c>
      <c r="L14" s="789"/>
    </row>
    <row r="15" spans="1:12">
      <c r="A15" s="779" t="s">
        <v>395</v>
      </c>
      <c r="B15" s="718"/>
      <c r="C15" s="792"/>
      <c r="D15" s="792"/>
      <c r="E15" s="793"/>
      <c r="F15" s="794"/>
      <c r="G15" s="792"/>
      <c r="H15" s="795"/>
      <c r="I15" s="796"/>
      <c r="J15" s="792"/>
      <c r="K15" s="795"/>
      <c r="L15" s="789"/>
    </row>
    <row r="16" spans="1:12">
      <c r="A16" s="779" t="s">
        <v>396</v>
      </c>
      <c r="B16" s="718"/>
      <c r="C16" s="792"/>
      <c r="D16" s="796">
        <v>60880</v>
      </c>
      <c r="E16" s="793"/>
      <c r="F16" s="767">
        <v>199965.94990000001</v>
      </c>
      <c r="G16" s="792">
        <v>199965.94990000001</v>
      </c>
      <c r="H16" s="795">
        <v>199965.94990000001</v>
      </c>
      <c r="I16" s="796">
        <v>330764</v>
      </c>
      <c r="J16" s="792">
        <v>347963.728</v>
      </c>
      <c r="K16" s="795">
        <v>366057.84185600001</v>
      </c>
      <c r="L16" s="789"/>
    </row>
    <row r="17" spans="1:12">
      <c r="A17" s="779" t="s">
        <v>397</v>
      </c>
      <c r="B17" s="718"/>
      <c r="C17" s="792"/>
      <c r="D17" s="796">
        <v>167855</v>
      </c>
      <c r="E17" s="793"/>
      <c r="F17" s="767">
        <v>487000</v>
      </c>
      <c r="G17" s="792">
        <v>487000</v>
      </c>
      <c r="H17" s="795">
        <v>487000</v>
      </c>
      <c r="I17" s="796">
        <v>516220</v>
      </c>
      <c r="J17" s="792">
        <v>543579.66</v>
      </c>
      <c r="K17" s="795">
        <v>570215.06333999999</v>
      </c>
      <c r="L17" s="789"/>
    </row>
    <row r="18" spans="1:12">
      <c r="A18" s="735" t="s">
        <v>398</v>
      </c>
      <c r="B18" s="718"/>
      <c r="C18" s="768">
        <v>0</v>
      </c>
      <c r="D18" s="768">
        <v>98988</v>
      </c>
      <c r="E18" s="786">
        <v>0</v>
      </c>
      <c r="F18" s="772">
        <v>1010000</v>
      </c>
      <c r="G18" s="768">
        <v>510000</v>
      </c>
      <c r="H18" s="777">
        <v>510000</v>
      </c>
      <c r="I18" s="787">
        <v>964600</v>
      </c>
      <c r="J18" s="768">
        <v>1014759.2</v>
      </c>
      <c r="K18" s="777">
        <v>1067526.6784000001</v>
      </c>
      <c r="L18" s="789"/>
    </row>
    <row r="19" spans="1:12">
      <c r="A19" s="779" t="s">
        <v>397</v>
      </c>
      <c r="B19" s="718"/>
      <c r="C19" s="792"/>
      <c r="D19" s="793">
        <v>98988</v>
      </c>
      <c r="E19" s="793"/>
      <c r="F19" s="767">
        <v>1010000</v>
      </c>
      <c r="G19" s="792">
        <v>510000</v>
      </c>
      <c r="H19" s="795">
        <v>510000</v>
      </c>
      <c r="I19" s="796">
        <v>964600</v>
      </c>
      <c r="J19" s="792">
        <v>1014759.2</v>
      </c>
      <c r="K19" s="795">
        <v>1067526.6784000001</v>
      </c>
      <c r="L19" s="789"/>
    </row>
    <row r="20" spans="1:12">
      <c r="A20" s="779" t="s">
        <v>399</v>
      </c>
      <c r="B20" s="718"/>
      <c r="C20" s="792"/>
      <c r="D20" s="792"/>
      <c r="E20" s="793"/>
      <c r="F20" s="794"/>
      <c r="G20" s="792"/>
      <c r="H20" s="795"/>
      <c r="I20" s="796"/>
      <c r="J20" s="792"/>
      <c r="K20" s="795"/>
      <c r="L20" s="789"/>
    </row>
    <row r="21" spans="1:12">
      <c r="A21" s="734" t="s">
        <v>400</v>
      </c>
      <c r="B21" s="718"/>
      <c r="C21" s="768">
        <v>0</v>
      </c>
      <c r="D21" s="768">
        <v>366147</v>
      </c>
      <c r="E21" s="768">
        <v>0</v>
      </c>
      <c r="F21" s="772">
        <v>505000</v>
      </c>
      <c r="G21" s="768">
        <v>505000</v>
      </c>
      <c r="H21" s="777">
        <v>505000</v>
      </c>
      <c r="I21" s="787">
        <v>535300</v>
      </c>
      <c r="J21" s="768">
        <v>563670.9</v>
      </c>
      <c r="K21" s="777">
        <v>591290.77409999992</v>
      </c>
      <c r="L21" s="789"/>
    </row>
    <row r="22" spans="1:12">
      <c r="A22" s="779" t="s">
        <v>401</v>
      </c>
      <c r="B22" s="718"/>
      <c r="C22" s="792"/>
      <c r="D22" s="801">
        <v>366147</v>
      </c>
      <c r="E22" s="801"/>
      <c r="F22" s="792">
        <v>505000</v>
      </c>
      <c r="G22" s="792">
        <v>505000</v>
      </c>
      <c r="H22" s="801">
        <v>505000</v>
      </c>
      <c r="I22" s="800">
        <v>535300</v>
      </c>
      <c r="J22" s="792">
        <v>563670.9</v>
      </c>
      <c r="K22" s="795">
        <v>591290.77409999992</v>
      </c>
      <c r="L22" s="788"/>
    </row>
    <row r="23" spans="1:12">
      <c r="A23" s="779" t="s">
        <v>402</v>
      </c>
      <c r="B23" s="718">
        <v>2</v>
      </c>
      <c r="C23" s="792"/>
      <c r="D23" s="792"/>
      <c r="E23" s="799"/>
      <c r="F23" s="800"/>
      <c r="G23" s="792"/>
      <c r="H23" s="801"/>
      <c r="I23" s="800"/>
      <c r="J23" s="792"/>
      <c r="K23" s="795"/>
      <c r="L23" s="789"/>
    </row>
    <row r="24" spans="1:12">
      <c r="A24" s="779" t="s">
        <v>403</v>
      </c>
      <c r="B24" s="718"/>
      <c r="C24" s="792"/>
      <c r="D24" s="792"/>
      <c r="E24" s="799"/>
      <c r="F24" s="800"/>
      <c r="G24" s="792"/>
      <c r="H24" s="801"/>
      <c r="I24" s="800"/>
      <c r="J24" s="792"/>
      <c r="K24" s="799"/>
      <c r="L24" s="789"/>
    </row>
    <row r="25" spans="1:12">
      <c r="A25" s="779" t="s">
        <v>79</v>
      </c>
      <c r="B25" s="718">
        <v>3</v>
      </c>
      <c r="C25" s="792"/>
      <c r="D25" s="792"/>
      <c r="E25" s="799"/>
      <c r="F25" s="800"/>
      <c r="G25" s="792"/>
      <c r="H25" s="801"/>
      <c r="I25" s="800"/>
      <c r="J25" s="792"/>
      <c r="K25" s="799"/>
      <c r="L25" s="789"/>
    </row>
    <row r="26" spans="1:12">
      <c r="A26" s="736"/>
      <c r="B26" s="718"/>
      <c r="C26" s="721"/>
      <c r="D26" s="721"/>
      <c r="E26" s="722"/>
      <c r="F26" s="723"/>
      <c r="G26" s="721"/>
      <c r="H26" s="720"/>
      <c r="I26" s="723"/>
      <c r="J26" s="721"/>
      <c r="K26" s="722"/>
      <c r="L26" s="751"/>
    </row>
    <row r="27" spans="1:12">
      <c r="A27" s="733" t="s">
        <v>248</v>
      </c>
      <c r="B27" s="718"/>
      <c r="C27" s="725">
        <v>0</v>
      </c>
      <c r="D27" s="725">
        <v>882419</v>
      </c>
      <c r="E27" s="726">
        <v>0</v>
      </c>
      <c r="F27" s="727">
        <v>785690</v>
      </c>
      <c r="G27" s="725">
        <v>785690</v>
      </c>
      <c r="H27" s="724">
        <v>785690</v>
      </c>
      <c r="I27" s="727">
        <v>893966</v>
      </c>
      <c r="J27" s="725">
        <v>941548.79800000007</v>
      </c>
      <c r="K27" s="726">
        <v>987562.61750199995</v>
      </c>
      <c r="L27" s="751"/>
    </row>
    <row r="28" spans="1:12">
      <c r="A28" s="734" t="s">
        <v>404</v>
      </c>
      <c r="B28" s="718"/>
      <c r="C28" s="797"/>
      <c r="D28" s="797"/>
      <c r="E28" s="809"/>
      <c r="F28" s="812"/>
      <c r="G28" s="797"/>
      <c r="H28" s="813"/>
      <c r="I28" s="812"/>
      <c r="J28" s="797"/>
      <c r="K28" s="809"/>
      <c r="L28" s="789"/>
    </row>
    <row r="29" spans="1:12">
      <c r="A29" s="734" t="s">
        <v>405</v>
      </c>
      <c r="B29" s="718"/>
      <c r="C29" s="792"/>
      <c r="D29" s="799">
        <v>60138</v>
      </c>
      <c r="E29" s="799"/>
      <c r="F29" s="796">
        <v>150000</v>
      </c>
      <c r="G29" s="792">
        <v>150000</v>
      </c>
      <c r="H29" s="801">
        <v>150000</v>
      </c>
      <c r="I29" s="800">
        <v>159000</v>
      </c>
      <c r="J29" s="792">
        <v>167427</v>
      </c>
      <c r="K29" s="799">
        <v>175630.92299999998</v>
      </c>
      <c r="L29" s="789"/>
    </row>
    <row r="30" spans="1:12">
      <c r="A30" s="734" t="s">
        <v>406</v>
      </c>
      <c r="B30" s="718"/>
      <c r="C30" s="792"/>
      <c r="D30" s="799">
        <v>0</v>
      </c>
      <c r="E30" s="799"/>
      <c r="F30" s="796">
        <v>10000</v>
      </c>
      <c r="G30" s="792">
        <v>10000</v>
      </c>
      <c r="H30" s="801">
        <v>10000</v>
      </c>
      <c r="I30" s="800">
        <v>10600</v>
      </c>
      <c r="J30" s="792">
        <v>11161.8</v>
      </c>
      <c r="K30" s="799">
        <v>11708.728199999998</v>
      </c>
      <c r="L30" s="789"/>
    </row>
    <row r="31" spans="1:12">
      <c r="A31" s="734" t="s">
        <v>407</v>
      </c>
      <c r="B31" s="718"/>
      <c r="C31" s="792"/>
      <c r="D31" s="799">
        <v>68150</v>
      </c>
      <c r="E31" s="799"/>
      <c r="F31" s="796">
        <v>50000</v>
      </c>
      <c r="G31" s="792">
        <v>50000</v>
      </c>
      <c r="H31" s="801">
        <v>50000</v>
      </c>
      <c r="I31" s="800">
        <v>53000</v>
      </c>
      <c r="J31" s="792">
        <v>55809</v>
      </c>
      <c r="K31" s="799">
        <v>58543.640999999996</v>
      </c>
      <c r="L31" s="789"/>
    </row>
    <row r="32" spans="1:12">
      <c r="A32" s="734" t="s">
        <v>408</v>
      </c>
      <c r="B32" s="718"/>
      <c r="C32" s="792"/>
      <c r="D32" s="799">
        <v>7076</v>
      </c>
      <c r="E32" s="799"/>
      <c r="F32" s="796">
        <v>23240</v>
      </c>
      <c r="G32" s="792">
        <v>23240</v>
      </c>
      <c r="H32" s="801">
        <v>23240</v>
      </c>
      <c r="I32" s="800">
        <v>33482</v>
      </c>
      <c r="J32" s="792">
        <v>35256.546000000002</v>
      </c>
      <c r="K32" s="799">
        <v>36984.116753999995</v>
      </c>
      <c r="L32" s="789"/>
    </row>
    <row r="33" spans="1:15">
      <c r="A33" s="734" t="s">
        <v>409</v>
      </c>
      <c r="B33" s="718"/>
      <c r="C33" s="792"/>
      <c r="D33" s="799">
        <v>13255</v>
      </c>
      <c r="E33" s="799"/>
      <c r="F33" s="796">
        <v>40000</v>
      </c>
      <c r="G33" s="792">
        <v>40000</v>
      </c>
      <c r="H33" s="801">
        <v>40000</v>
      </c>
      <c r="I33" s="800">
        <v>42400</v>
      </c>
      <c r="J33" s="792">
        <v>44647.199999999997</v>
      </c>
      <c r="K33" s="799">
        <v>46834.912799999991</v>
      </c>
      <c r="L33" s="789"/>
      <c r="M33" s="713"/>
      <c r="N33" s="713"/>
      <c r="O33" s="713"/>
    </row>
    <row r="34" spans="1:15">
      <c r="A34" s="734" t="s">
        <v>410</v>
      </c>
      <c r="B34" s="718"/>
      <c r="C34" s="792"/>
      <c r="D34" s="799">
        <v>26341</v>
      </c>
      <c r="E34" s="799"/>
      <c r="F34" s="796">
        <v>105000</v>
      </c>
      <c r="G34" s="792">
        <v>105000</v>
      </c>
      <c r="H34" s="801">
        <v>105000</v>
      </c>
      <c r="I34" s="800">
        <v>110500</v>
      </c>
      <c r="J34" s="792">
        <v>116356.5</v>
      </c>
      <c r="K34" s="799">
        <v>122057.9685</v>
      </c>
      <c r="L34" s="789"/>
      <c r="M34" s="713"/>
      <c r="N34" s="713"/>
      <c r="O34" s="713"/>
    </row>
    <row r="35" spans="1:15">
      <c r="A35" s="734" t="s">
        <v>411</v>
      </c>
      <c r="B35" s="718"/>
      <c r="C35" s="792"/>
      <c r="D35" s="799">
        <v>532544</v>
      </c>
      <c r="E35" s="799"/>
      <c r="F35" s="796">
        <v>297450</v>
      </c>
      <c r="G35" s="792">
        <v>297450</v>
      </c>
      <c r="H35" s="801">
        <v>297450</v>
      </c>
      <c r="I35" s="800">
        <v>368284</v>
      </c>
      <c r="J35" s="792">
        <v>387803.05199999997</v>
      </c>
      <c r="K35" s="799">
        <v>406805.40154799999</v>
      </c>
      <c r="L35" s="789"/>
      <c r="M35" s="713"/>
      <c r="N35" s="713"/>
      <c r="O35" s="713"/>
    </row>
    <row r="36" spans="1:15">
      <c r="A36" s="734" t="s">
        <v>412</v>
      </c>
      <c r="B36" s="718">
        <v>7</v>
      </c>
      <c r="C36" s="792"/>
      <c r="D36" s="799"/>
      <c r="E36" s="799"/>
      <c r="F36" s="800"/>
      <c r="G36" s="792"/>
      <c r="H36" s="801"/>
      <c r="I36" s="800"/>
      <c r="J36" s="792"/>
      <c r="K36" s="799"/>
      <c r="L36" s="789"/>
      <c r="M36" s="713"/>
      <c r="N36" s="713"/>
      <c r="O36" s="713"/>
    </row>
    <row r="37" spans="1:15">
      <c r="A37" s="734" t="s">
        <v>82</v>
      </c>
      <c r="B37" s="718"/>
      <c r="C37" s="792"/>
      <c r="D37" s="799">
        <v>111053</v>
      </c>
      <c r="E37" s="799"/>
      <c r="F37" s="800"/>
      <c r="G37" s="792"/>
      <c r="H37" s="801"/>
      <c r="I37" s="800"/>
      <c r="J37" s="792"/>
      <c r="K37" s="799"/>
      <c r="L37" s="789"/>
      <c r="M37" s="713"/>
      <c r="N37" s="713"/>
      <c r="O37" s="751"/>
    </row>
    <row r="38" spans="1:15">
      <c r="A38" s="734" t="s">
        <v>413</v>
      </c>
      <c r="B38" s="718"/>
      <c r="C38" s="792"/>
      <c r="D38" s="799">
        <v>2895</v>
      </c>
      <c r="E38" s="799"/>
      <c r="F38" s="796">
        <v>5000</v>
      </c>
      <c r="G38" s="792">
        <v>5000</v>
      </c>
      <c r="H38" s="801">
        <v>5000</v>
      </c>
      <c r="I38" s="800">
        <v>5300</v>
      </c>
      <c r="J38" s="792">
        <v>5580.9</v>
      </c>
      <c r="K38" s="799">
        <v>5854.3640999999989</v>
      </c>
      <c r="L38" s="789"/>
      <c r="M38" s="713"/>
      <c r="N38" s="713"/>
      <c r="O38" s="713"/>
    </row>
    <row r="39" spans="1:15">
      <c r="A39" s="734" t="s">
        <v>414</v>
      </c>
      <c r="B39" s="718"/>
      <c r="C39" s="792"/>
      <c r="D39" s="799">
        <v>967</v>
      </c>
      <c r="E39" s="799"/>
      <c r="F39" s="796">
        <v>90000</v>
      </c>
      <c r="G39" s="792">
        <v>90000</v>
      </c>
      <c r="H39" s="801">
        <v>90000</v>
      </c>
      <c r="I39" s="800">
        <v>95400</v>
      </c>
      <c r="J39" s="792">
        <v>100360.8</v>
      </c>
      <c r="K39" s="799">
        <v>105579.5616</v>
      </c>
      <c r="L39" s="789"/>
      <c r="M39" s="713"/>
      <c r="N39" s="713"/>
      <c r="O39" s="713"/>
    </row>
    <row r="40" spans="1:15">
      <c r="A40" s="734" t="s">
        <v>415</v>
      </c>
      <c r="B40" s="718">
        <v>8</v>
      </c>
      <c r="C40" s="792"/>
      <c r="D40" s="799"/>
      <c r="E40" s="799"/>
      <c r="F40" s="800"/>
      <c r="G40" s="792"/>
      <c r="H40" s="801"/>
      <c r="I40" s="800"/>
      <c r="J40" s="792"/>
      <c r="K40" s="799"/>
      <c r="L40" s="751"/>
      <c r="M40" s="713"/>
      <c r="N40" s="713"/>
      <c r="O40" s="713"/>
    </row>
    <row r="41" spans="1:15">
      <c r="A41" s="734" t="s">
        <v>79</v>
      </c>
      <c r="B41" s="718"/>
      <c r="C41" s="803"/>
      <c r="D41" s="804">
        <v>60000</v>
      </c>
      <c r="E41" s="804"/>
      <c r="F41" s="796">
        <v>15000</v>
      </c>
      <c r="G41" s="803">
        <v>15000</v>
      </c>
      <c r="H41" s="806">
        <v>15000</v>
      </c>
      <c r="I41" s="805">
        <v>16000</v>
      </c>
      <c r="J41" s="803">
        <v>17146</v>
      </c>
      <c r="K41" s="804">
        <v>17563</v>
      </c>
      <c r="L41" s="789"/>
      <c r="M41" s="713"/>
      <c r="N41" s="713"/>
      <c r="O41" s="713"/>
    </row>
    <row r="42" spans="1:15">
      <c r="A42" s="736"/>
      <c r="B42" s="718"/>
      <c r="C42" s="721"/>
      <c r="D42" s="721"/>
      <c r="E42" s="722"/>
      <c r="F42" s="723"/>
      <c r="G42" s="721"/>
      <c r="H42" s="720"/>
      <c r="I42" s="723"/>
      <c r="J42" s="721"/>
      <c r="K42" s="722"/>
      <c r="L42" s="751"/>
      <c r="M42" s="713"/>
      <c r="N42" s="713"/>
      <c r="O42" s="713"/>
    </row>
    <row r="43" spans="1:15">
      <c r="A43" s="733" t="s">
        <v>249</v>
      </c>
      <c r="B43" s="718"/>
      <c r="C43" s="721">
        <v>0</v>
      </c>
      <c r="D43" s="721">
        <v>0</v>
      </c>
      <c r="E43" s="722">
        <v>0</v>
      </c>
      <c r="F43" s="723">
        <v>0</v>
      </c>
      <c r="G43" s="721">
        <v>0</v>
      </c>
      <c r="H43" s="720">
        <v>0</v>
      </c>
      <c r="I43" s="723">
        <v>0</v>
      </c>
      <c r="J43" s="721">
        <v>0</v>
      </c>
      <c r="K43" s="722">
        <v>0</v>
      </c>
      <c r="L43" s="751"/>
      <c r="M43" s="713"/>
      <c r="N43" s="713"/>
      <c r="O43" s="713"/>
    </row>
    <row r="44" spans="1:15">
      <c r="A44" s="734" t="s">
        <v>416</v>
      </c>
      <c r="B44" s="718"/>
      <c r="C44" s="798"/>
      <c r="D44" s="798"/>
      <c r="E44" s="814"/>
      <c r="F44" s="815"/>
      <c r="G44" s="798"/>
      <c r="H44" s="816"/>
      <c r="I44" s="815"/>
      <c r="J44" s="798"/>
      <c r="K44" s="814"/>
      <c r="L44" s="751"/>
      <c r="M44" s="713"/>
      <c r="N44" s="713"/>
      <c r="O44" s="713"/>
    </row>
    <row r="45" spans="1:15">
      <c r="A45" s="735" t="s">
        <v>79</v>
      </c>
      <c r="B45" s="718">
        <v>9</v>
      </c>
      <c r="C45" s="802"/>
      <c r="D45" s="802"/>
      <c r="E45" s="817"/>
      <c r="F45" s="818"/>
      <c r="G45" s="802"/>
      <c r="H45" s="819"/>
      <c r="I45" s="818"/>
      <c r="J45" s="802"/>
      <c r="K45" s="817"/>
      <c r="L45" s="751"/>
      <c r="M45" s="713"/>
      <c r="N45" s="713"/>
      <c r="O45" s="713"/>
    </row>
    <row r="46" spans="1:15">
      <c r="A46" s="736"/>
      <c r="B46" s="718"/>
      <c r="C46" s="721"/>
      <c r="D46" s="721"/>
      <c r="E46" s="722"/>
      <c r="F46" s="723"/>
      <c r="G46" s="721"/>
      <c r="H46" s="720"/>
      <c r="I46" s="723"/>
      <c r="J46" s="721"/>
      <c r="K46" s="722"/>
      <c r="L46" s="751"/>
      <c r="M46" s="713"/>
      <c r="N46" s="713"/>
      <c r="O46" s="713"/>
    </row>
    <row r="47" spans="1:15">
      <c r="A47" s="733" t="s">
        <v>250</v>
      </c>
      <c r="B47" s="718"/>
      <c r="C47" s="725">
        <v>0</v>
      </c>
      <c r="D47" s="725">
        <v>0</v>
      </c>
      <c r="E47" s="726">
        <v>0</v>
      </c>
      <c r="F47" s="727">
        <v>0</v>
      </c>
      <c r="G47" s="725">
        <v>0</v>
      </c>
      <c r="H47" s="724">
        <v>0</v>
      </c>
      <c r="I47" s="727">
        <v>0</v>
      </c>
      <c r="J47" s="725">
        <v>0</v>
      </c>
      <c r="K47" s="726">
        <v>0</v>
      </c>
      <c r="L47" s="751"/>
      <c r="M47" s="713"/>
      <c r="N47" s="713"/>
      <c r="O47" s="713"/>
    </row>
    <row r="48" spans="1:15">
      <c r="A48" s="734" t="s">
        <v>417</v>
      </c>
      <c r="B48" s="718"/>
      <c r="C48" s="797"/>
      <c r="D48" s="797"/>
      <c r="E48" s="809"/>
      <c r="F48" s="812"/>
      <c r="G48" s="797"/>
      <c r="H48" s="813"/>
      <c r="I48" s="812"/>
      <c r="J48" s="797"/>
      <c r="K48" s="809"/>
      <c r="L48" s="789"/>
      <c r="M48" s="713"/>
      <c r="N48" s="713"/>
      <c r="O48" s="713"/>
    </row>
    <row r="49" spans="1:12">
      <c r="A49" s="734" t="s">
        <v>79</v>
      </c>
      <c r="B49" s="718"/>
      <c r="C49" s="803"/>
      <c r="D49" s="803"/>
      <c r="E49" s="804"/>
      <c r="F49" s="805"/>
      <c r="G49" s="803"/>
      <c r="H49" s="806"/>
      <c r="I49" s="805"/>
      <c r="J49" s="803"/>
      <c r="K49" s="804"/>
      <c r="L49" s="751"/>
    </row>
    <row r="50" spans="1:12">
      <c r="A50" s="736"/>
      <c r="B50" s="718"/>
      <c r="C50" s="721"/>
      <c r="D50" s="721"/>
      <c r="E50" s="722"/>
      <c r="F50" s="723"/>
      <c r="G50" s="721"/>
      <c r="H50" s="720"/>
      <c r="I50" s="723"/>
      <c r="J50" s="721"/>
      <c r="K50" s="722"/>
      <c r="L50" s="751"/>
    </row>
    <row r="51" spans="1:12">
      <c r="A51" s="733" t="s">
        <v>251</v>
      </c>
      <c r="B51" s="718"/>
      <c r="C51" s="725">
        <v>3376149.15</v>
      </c>
      <c r="D51" s="725">
        <v>411741</v>
      </c>
      <c r="E51" s="726">
        <v>0</v>
      </c>
      <c r="F51" s="727">
        <v>780806</v>
      </c>
      <c r="G51" s="725">
        <v>780806</v>
      </c>
      <c r="H51" s="724">
        <v>780806</v>
      </c>
      <c r="I51" s="727">
        <v>1041176</v>
      </c>
      <c r="J51" s="725">
        <v>1096358.328</v>
      </c>
      <c r="K51" s="726">
        <v>1150079.886072</v>
      </c>
      <c r="L51" s="751"/>
    </row>
    <row r="52" spans="1:12">
      <c r="A52" s="735" t="s">
        <v>418</v>
      </c>
      <c r="B52" s="718"/>
      <c r="C52" s="797"/>
      <c r="D52" s="809">
        <v>82500</v>
      </c>
      <c r="E52" s="809"/>
      <c r="F52" s="812">
        <v>133855</v>
      </c>
      <c r="G52" s="797">
        <v>133855</v>
      </c>
      <c r="H52" s="813">
        <v>133855</v>
      </c>
      <c r="I52" s="812">
        <v>150613</v>
      </c>
      <c r="J52" s="797">
        <v>158595.489</v>
      </c>
      <c r="K52" s="809">
        <v>166366.667961</v>
      </c>
      <c r="L52" s="789"/>
    </row>
    <row r="53" spans="1:12">
      <c r="A53" s="735" t="s">
        <v>419</v>
      </c>
      <c r="B53" s="718">
        <v>10</v>
      </c>
      <c r="C53" s="768">
        <v>0</v>
      </c>
      <c r="D53" s="768">
        <v>0</v>
      </c>
      <c r="E53" s="769">
        <v>0</v>
      </c>
      <c r="F53" s="770">
        <v>0</v>
      </c>
      <c r="G53" s="768">
        <v>0</v>
      </c>
      <c r="H53" s="771">
        <v>0</v>
      </c>
      <c r="I53" s="770">
        <v>0</v>
      </c>
      <c r="J53" s="768">
        <v>0</v>
      </c>
      <c r="K53" s="769">
        <v>0</v>
      </c>
      <c r="L53" s="751"/>
    </row>
    <row r="54" spans="1:12">
      <c r="A54" s="735" t="s">
        <v>420</v>
      </c>
      <c r="B54" s="718"/>
      <c r="C54" s="792"/>
      <c r="D54" s="799">
        <v>9682</v>
      </c>
      <c r="E54" s="799"/>
      <c r="F54" s="796">
        <v>48918</v>
      </c>
      <c r="G54" s="792">
        <v>48918</v>
      </c>
      <c r="H54" s="801">
        <v>48918</v>
      </c>
      <c r="I54" s="800"/>
      <c r="J54" s="792"/>
      <c r="K54" s="799"/>
      <c r="L54" s="789"/>
    </row>
    <row r="55" spans="1:12">
      <c r="A55" s="735" t="s">
        <v>421</v>
      </c>
      <c r="B55" s="718"/>
      <c r="C55" s="792"/>
      <c r="D55" s="792"/>
      <c r="E55" s="799"/>
      <c r="F55" s="800"/>
      <c r="G55" s="792"/>
      <c r="H55" s="801"/>
      <c r="I55" s="800">
        <v>50000</v>
      </c>
      <c r="J55" s="792">
        <v>52650</v>
      </c>
      <c r="K55" s="799">
        <v>55229.85</v>
      </c>
      <c r="L55" s="789"/>
    </row>
    <row r="56" spans="1:12">
      <c r="A56" s="735" t="s">
        <v>422</v>
      </c>
      <c r="B56" s="718"/>
      <c r="C56" s="792"/>
      <c r="D56" s="799">
        <v>14060</v>
      </c>
      <c r="E56" s="799"/>
      <c r="F56" s="796">
        <v>113033</v>
      </c>
      <c r="G56" s="792">
        <v>113033</v>
      </c>
      <c r="H56" s="801">
        <v>113033</v>
      </c>
      <c r="I56" s="800">
        <v>171063</v>
      </c>
      <c r="J56" s="792">
        <v>180129.33899999998</v>
      </c>
      <c r="K56" s="799">
        <v>188955.67661099997</v>
      </c>
      <c r="L56" s="789"/>
    </row>
    <row r="57" spans="1:12">
      <c r="A57" s="735" t="s">
        <v>93</v>
      </c>
      <c r="B57" s="718"/>
      <c r="C57" s="792"/>
      <c r="D57" s="792"/>
      <c r="E57" s="799"/>
      <c r="F57" s="800"/>
      <c r="G57" s="792"/>
      <c r="H57" s="801"/>
      <c r="I57" s="800"/>
      <c r="J57" s="792"/>
      <c r="K57" s="799"/>
      <c r="L57" s="789"/>
    </row>
    <row r="58" spans="1:12">
      <c r="A58" s="735" t="s">
        <v>94</v>
      </c>
      <c r="B58" s="718"/>
      <c r="C58" s="792"/>
      <c r="D58" s="792"/>
      <c r="E58" s="799"/>
      <c r="F58" s="800"/>
      <c r="G58" s="792"/>
      <c r="H58" s="801"/>
      <c r="I58" s="800"/>
      <c r="J58" s="792"/>
      <c r="K58" s="799"/>
      <c r="L58" s="788"/>
    </row>
    <row r="59" spans="1:12">
      <c r="A59" s="735" t="s">
        <v>423</v>
      </c>
      <c r="B59" s="718"/>
      <c r="C59" s="792"/>
      <c r="D59" s="792"/>
      <c r="E59" s="799"/>
      <c r="F59" s="800"/>
      <c r="G59" s="792"/>
      <c r="H59" s="801"/>
      <c r="I59" s="800"/>
      <c r="J59" s="792"/>
      <c r="K59" s="799"/>
      <c r="L59" s="789"/>
    </row>
    <row r="60" spans="1:12">
      <c r="A60" s="735" t="s">
        <v>424</v>
      </c>
      <c r="B60" s="718"/>
      <c r="C60" s="792"/>
      <c r="D60" s="792"/>
      <c r="E60" s="799"/>
      <c r="F60" s="796">
        <v>485000</v>
      </c>
      <c r="G60" s="792">
        <v>485000</v>
      </c>
      <c r="H60" s="801">
        <v>485000</v>
      </c>
      <c r="I60" s="800">
        <v>669500</v>
      </c>
      <c r="J60" s="792">
        <v>704983.5</v>
      </c>
      <c r="K60" s="799">
        <v>739527.69149999996</v>
      </c>
      <c r="L60" s="789"/>
    </row>
    <row r="61" spans="1:12">
      <c r="A61" s="735" t="s">
        <v>425</v>
      </c>
      <c r="B61" s="718"/>
      <c r="C61" s="792"/>
      <c r="D61" s="792"/>
      <c r="E61" s="799"/>
      <c r="F61" s="800"/>
      <c r="G61" s="792"/>
      <c r="H61" s="801"/>
      <c r="I61" s="800"/>
      <c r="J61" s="792"/>
      <c r="K61" s="799"/>
      <c r="L61" s="789"/>
    </row>
    <row r="62" spans="1:12">
      <c r="A62" s="735" t="s">
        <v>426</v>
      </c>
      <c r="B62" s="718"/>
      <c r="C62" s="792"/>
      <c r="D62" s="792"/>
      <c r="E62" s="799"/>
      <c r="F62" s="800"/>
      <c r="G62" s="792"/>
      <c r="H62" s="801"/>
      <c r="I62" s="800"/>
      <c r="J62" s="792"/>
      <c r="K62" s="799"/>
      <c r="L62" s="789"/>
    </row>
    <row r="63" spans="1:12">
      <c r="A63" s="734" t="s">
        <v>79</v>
      </c>
      <c r="B63" s="718"/>
      <c r="C63" s="803">
        <v>3376149.15</v>
      </c>
      <c r="D63" s="804">
        <v>305499</v>
      </c>
      <c r="E63" s="804"/>
      <c r="F63" s="805"/>
      <c r="G63" s="803"/>
      <c r="H63" s="806"/>
      <c r="I63" s="805"/>
      <c r="J63" s="803"/>
      <c r="K63" s="804"/>
      <c r="L63" s="789"/>
    </row>
    <row r="64" spans="1:12">
      <c r="A64" s="762"/>
      <c r="B64" s="718"/>
      <c r="C64" s="721"/>
      <c r="D64" s="721"/>
      <c r="E64" s="722"/>
      <c r="F64" s="723"/>
      <c r="G64" s="721"/>
      <c r="H64" s="720"/>
      <c r="I64" s="723"/>
      <c r="J64" s="721"/>
      <c r="K64" s="722"/>
      <c r="L64" s="751"/>
    </row>
    <row r="65" spans="1:12">
      <c r="A65" s="733" t="s">
        <v>427</v>
      </c>
      <c r="B65" s="718"/>
      <c r="C65" s="721">
        <v>0</v>
      </c>
      <c r="D65" s="721">
        <v>0</v>
      </c>
      <c r="E65" s="722">
        <v>0</v>
      </c>
      <c r="F65" s="723">
        <v>0</v>
      </c>
      <c r="G65" s="721">
        <v>0</v>
      </c>
      <c r="H65" s="720">
        <v>0</v>
      </c>
      <c r="I65" s="723">
        <v>0</v>
      </c>
      <c r="J65" s="721">
        <v>0</v>
      </c>
      <c r="K65" s="722">
        <v>0</v>
      </c>
      <c r="L65" s="751"/>
    </row>
    <row r="66" spans="1:12">
      <c r="A66" s="811" t="s">
        <v>428</v>
      </c>
      <c r="B66" s="718"/>
      <c r="C66" s="797"/>
      <c r="D66" s="797"/>
      <c r="E66" s="809"/>
      <c r="F66" s="812"/>
      <c r="G66" s="797"/>
      <c r="H66" s="813"/>
      <c r="I66" s="812"/>
      <c r="J66" s="797"/>
      <c r="K66" s="809"/>
      <c r="L66" s="751"/>
    </row>
    <row r="67" spans="1:12">
      <c r="A67" s="811"/>
      <c r="B67" s="718"/>
      <c r="C67" s="803"/>
      <c r="D67" s="803"/>
      <c r="E67" s="804"/>
      <c r="F67" s="805"/>
      <c r="G67" s="803"/>
      <c r="H67" s="806"/>
      <c r="I67" s="805"/>
      <c r="J67" s="803"/>
      <c r="K67" s="804"/>
      <c r="L67" s="751"/>
    </row>
    <row r="68" spans="1:12">
      <c r="A68" s="762"/>
      <c r="B68" s="718"/>
      <c r="C68" s="721"/>
      <c r="D68" s="721"/>
      <c r="E68" s="722"/>
      <c r="F68" s="723"/>
      <c r="G68" s="721"/>
      <c r="H68" s="720"/>
      <c r="I68" s="723"/>
      <c r="J68" s="721"/>
      <c r="K68" s="722"/>
      <c r="L68" s="751"/>
    </row>
    <row r="69" spans="1:12">
      <c r="A69" s="733" t="s">
        <v>253</v>
      </c>
      <c r="B69" s="718"/>
      <c r="C69" s="721">
        <v>0</v>
      </c>
      <c r="D69" s="721">
        <v>0</v>
      </c>
      <c r="E69" s="722">
        <v>0</v>
      </c>
      <c r="F69" s="723">
        <v>0</v>
      </c>
      <c r="G69" s="721">
        <v>0</v>
      </c>
      <c r="H69" s="720">
        <v>0</v>
      </c>
      <c r="I69" s="723">
        <v>0</v>
      </c>
      <c r="J69" s="721">
        <v>0</v>
      </c>
      <c r="K69" s="722">
        <v>0</v>
      </c>
      <c r="L69" s="751"/>
    </row>
    <row r="70" spans="1:12">
      <c r="A70" s="811" t="s">
        <v>428</v>
      </c>
      <c r="B70" s="718"/>
      <c r="C70" s="797"/>
      <c r="D70" s="797"/>
      <c r="E70" s="809"/>
      <c r="F70" s="812"/>
      <c r="G70" s="797"/>
      <c r="H70" s="813"/>
      <c r="I70" s="812"/>
      <c r="J70" s="797"/>
      <c r="K70" s="809"/>
      <c r="L70" s="751"/>
    </row>
    <row r="71" spans="1:12">
      <c r="A71" s="811"/>
      <c r="B71" s="718"/>
      <c r="C71" s="803"/>
      <c r="D71" s="803"/>
      <c r="E71" s="804"/>
      <c r="F71" s="805"/>
      <c r="G71" s="803"/>
      <c r="H71" s="806"/>
      <c r="I71" s="805"/>
      <c r="J71" s="803"/>
      <c r="K71" s="804"/>
      <c r="L71" s="751"/>
    </row>
    <row r="72" spans="1:12">
      <c r="A72" s="736"/>
      <c r="B72" s="718"/>
      <c r="C72" s="721"/>
      <c r="D72" s="721"/>
      <c r="E72" s="722"/>
      <c r="F72" s="723"/>
      <c r="G72" s="721"/>
      <c r="H72" s="720"/>
      <c r="I72" s="723"/>
      <c r="J72" s="721"/>
      <c r="K72" s="722"/>
      <c r="L72" s="751"/>
    </row>
    <row r="73" spans="1:12">
      <c r="A73" s="733" t="s">
        <v>254</v>
      </c>
      <c r="B73" s="718"/>
      <c r="C73" s="721">
        <v>0</v>
      </c>
      <c r="D73" s="721">
        <v>0</v>
      </c>
      <c r="E73" s="722">
        <v>0</v>
      </c>
      <c r="F73" s="723">
        <v>0</v>
      </c>
      <c r="G73" s="721">
        <v>0</v>
      </c>
      <c r="H73" s="720">
        <v>0</v>
      </c>
      <c r="I73" s="723">
        <v>0</v>
      </c>
      <c r="J73" s="721">
        <v>0</v>
      </c>
      <c r="K73" s="722">
        <v>0</v>
      </c>
      <c r="L73" s="751"/>
    </row>
    <row r="74" spans="1:12">
      <c r="A74" s="735" t="s">
        <v>429</v>
      </c>
      <c r="B74" s="718"/>
      <c r="C74" s="797"/>
      <c r="D74" s="797"/>
      <c r="E74" s="809"/>
      <c r="F74" s="812"/>
      <c r="G74" s="797"/>
      <c r="H74" s="813"/>
      <c r="I74" s="812"/>
      <c r="J74" s="797"/>
      <c r="K74" s="809"/>
      <c r="L74" s="751"/>
    </row>
    <row r="75" spans="1:12">
      <c r="A75" s="810" t="s">
        <v>430</v>
      </c>
      <c r="B75" s="718"/>
      <c r="C75" s="803"/>
      <c r="D75" s="803"/>
      <c r="E75" s="804"/>
      <c r="F75" s="805"/>
      <c r="G75" s="803"/>
      <c r="H75" s="806"/>
      <c r="I75" s="805"/>
      <c r="J75" s="803"/>
      <c r="K75" s="804"/>
      <c r="L75" s="751"/>
    </row>
    <row r="76" spans="1:12">
      <c r="A76" s="736"/>
      <c r="B76" s="718"/>
      <c r="C76" s="725"/>
      <c r="D76" s="725"/>
      <c r="E76" s="726"/>
      <c r="F76" s="727"/>
      <c r="G76" s="725"/>
      <c r="H76" s="724"/>
      <c r="I76" s="727"/>
      <c r="J76" s="725"/>
      <c r="K76" s="726"/>
      <c r="L76" s="751"/>
    </row>
    <row r="77" spans="1:12">
      <c r="A77" s="737" t="s">
        <v>439</v>
      </c>
      <c r="B77" s="728">
        <v>1</v>
      </c>
      <c r="C77" s="731">
        <v>3376149.15</v>
      </c>
      <c r="D77" s="731">
        <v>2730101</v>
      </c>
      <c r="E77" s="729">
        <v>0</v>
      </c>
      <c r="F77" s="730">
        <v>6443461.9498999994</v>
      </c>
      <c r="G77" s="731">
        <v>4943461.9498999994</v>
      </c>
      <c r="H77" s="732">
        <v>4943461.9498999994</v>
      </c>
      <c r="I77" s="730">
        <v>7132331</v>
      </c>
      <c r="J77" s="731">
        <v>7527531.5640000002</v>
      </c>
      <c r="K77" s="729">
        <v>7922077.2124700006</v>
      </c>
      <c r="L77" s="751"/>
    </row>
    <row r="78" spans="1:12">
      <c r="A78" s="831"/>
      <c r="B78" s="832"/>
      <c r="C78" s="778"/>
      <c r="D78" s="778"/>
      <c r="E78" s="778"/>
      <c r="F78" s="778"/>
      <c r="G78" s="778"/>
      <c r="H78" s="778"/>
      <c r="I78" s="778"/>
      <c r="J78" s="778"/>
      <c r="K78" s="778"/>
      <c r="L78" s="751"/>
    </row>
    <row r="79" spans="1:12">
      <c r="A79" s="790" t="s">
        <v>419</v>
      </c>
      <c r="B79" s="828"/>
      <c r="C79" s="781">
        <v>0</v>
      </c>
      <c r="D79" s="780">
        <v>0</v>
      </c>
      <c r="E79" s="791">
        <v>0</v>
      </c>
      <c r="F79" s="781">
        <v>0</v>
      </c>
      <c r="G79" s="780">
        <v>0</v>
      </c>
      <c r="H79" s="791">
        <v>0</v>
      </c>
      <c r="I79" s="781">
        <v>0</v>
      </c>
      <c r="J79" s="780">
        <v>0</v>
      </c>
      <c r="K79" s="791">
        <v>0</v>
      </c>
      <c r="L79" s="751"/>
    </row>
    <row r="80" spans="1:12">
      <c r="A80" s="719" t="s">
        <v>321</v>
      </c>
      <c r="B80" s="829"/>
      <c r="C80" s="794"/>
      <c r="D80" s="792"/>
      <c r="E80" s="795"/>
      <c r="F80" s="794"/>
      <c r="G80" s="792"/>
      <c r="H80" s="795"/>
      <c r="I80" s="794"/>
      <c r="J80" s="792"/>
      <c r="K80" s="795"/>
      <c r="L80" s="751"/>
    </row>
    <row r="81" spans="1:12">
      <c r="A81" s="719" t="s">
        <v>77</v>
      </c>
      <c r="B81" s="829"/>
      <c r="C81" s="794"/>
      <c r="D81" s="792"/>
      <c r="E81" s="795"/>
      <c r="F81" s="794"/>
      <c r="G81" s="792"/>
      <c r="H81" s="795"/>
      <c r="I81" s="794"/>
      <c r="J81" s="792"/>
      <c r="K81" s="795"/>
      <c r="L81" s="751"/>
    </row>
    <row r="82" spans="1:12">
      <c r="A82" s="719" t="s">
        <v>432</v>
      </c>
      <c r="B82" s="829"/>
      <c r="C82" s="794"/>
      <c r="D82" s="792"/>
      <c r="E82" s="795"/>
      <c r="F82" s="794"/>
      <c r="G82" s="792"/>
      <c r="H82" s="795"/>
      <c r="I82" s="794"/>
      <c r="J82" s="792"/>
      <c r="K82" s="795"/>
      <c r="L82" s="751"/>
    </row>
    <row r="83" spans="1:12">
      <c r="A83" s="782" t="s">
        <v>433</v>
      </c>
      <c r="B83" s="830"/>
      <c r="C83" s="808"/>
      <c r="D83" s="807"/>
      <c r="E83" s="820"/>
      <c r="F83" s="808"/>
      <c r="G83" s="807"/>
      <c r="H83" s="820"/>
      <c r="I83" s="808"/>
      <c r="J83" s="807"/>
      <c r="K83" s="820"/>
      <c r="L83" s="751"/>
    </row>
    <row r="84" spans="1:12">
      <c r="A84" s="747"/>
      <c r="B84" s="759"/>
      <c r="C84" s="783"/>
      <c r="D84" s="783"/>
      <c r="E84" s="783"/>
      <c r="F84" s="783"/>
      <c r="G84" s="783"/>
      <c r="H84" s="783"/>
      <c r="I84" s="783"/>
      <c r="J84" s="783"/>
      <c r="K84" s="783"/>
      <c r="L84" s="750"/>
    </row>
    <row r="85" spans="1:12">
      <c r="A85" s="833" t="s">
        <v>266</v>
      </c>
      <c r="B85" s="834"/>
      <c r="C85" s="835">
        <v>0.192</v>
      </c>
      <c r="D85" s="835">
        <v>6.2E-2</v>
      </c>
      <c r="E85" s="836">
        <v>0</v>
      </c>
      <c r="F85" s="837">
        <v>9.1999999999999998E-2</v>
      </c>
      <c r="G85" s="835">
        <v>1.4999999999999999E-2</v>
      </c>
      <c r="H85" s="838">
        <v>1.4999999999999999E-2</v>
      </c>
      <c r="I85" s="839">
        <v>1.9E-2</v>
      </c>
      <c r="J85" s="835">
        <v>1.9E-2</v>
      </c>
      <c r="K85" s="836">
        <v>1.9E-2</v>
      </c>
      <c r="L85" s="751"/>
    </row>
    <row r="86" spans="1:12">
      <c r="A86" s="821" t="s">
        <v>440</v>
      </c>
      <c r="B86" s="822"/>
      <c r="C86" s="823">
        <v>0.05</v>
      </c>
      <c r="D86" s="823">
        <v>4.1000000000000002E-2</v>
      </c>
      <c r="E86" s="824">
        <v>0</v>
      </c>
      <c r="F86" s="825">
        <v>7.0999999999999994E-2</v>
      </c>
      <c r="G86" s="823">
        <v>4.8000000000000001E-2</v>
      </c>
      <c r="H86" s="826">
        <v>4.8000000000000001E-2</v>
      </c>
      <c r="I86" s="827">
        <v>6.5000000000000002E-2</v>
      </c>
      <c r="J86" s="823">
        <v>6.5000000000000002E-2</v>
      </c>
      <c r="K86" s="824">
        <v>6.5000000000000002E-2</v>
      </c>
      <c r="L86" s="751"/>
    </row>
    <row r="87" spans="1:12">
      <c r="A87" s="713"/>
      <c r="B87" s="713"/>
      <c r="C87" s="713"/>
      <c r="D87" s="713"/>
      <c r="E87" s="713"/>
      <c r="F87" s="713"/>
      <c r="G87" s="713"/>
      <c r="H87" s="713"/>
      <c r="I87" s="713"/>
      <c r="J87" s="713"/>
      <c r="K87" s="713"/>
    </row>
    <row r="88" spans="1:12">
      <c r="A88" s="713"/>
      <c r="B88" s="713"/>
      <c r="C88" s="713"/>
      <c r="D88" s="713"/>
      <c r="E88" s="713"/>
      <c r="F88" s="713"/>
      <c r="G88" s="713"/>
      <c r="H88" s="713"/>
      <c r="I88" s="713"/>
      <c r="J88" s="713"/>
      <c r="K88" s="713"/>
    </row>
    <row r="89" spans="1:12">
      <c r="A89" s="713"/>
      <c r="B89" s="713"/>
      <c r="C89" s="713"/>
      <c r="D89" s="713"/>
      <c r="E89" s="713"/>
      <c r="F89" s="713"/>
      <c r="G89" s="713"/>
      <c r="H89" s="713"/>
      <c r="I89" s="713"/>
      <c r="J89" s="713"/>
      <c r="K89" s="713"/>
    </row>
    <row r="90" spans="1:12">
      <c r="A90" s="713"/>
      <c r="B90" s="713"/>
      <c r="C90" s="713"/>
      <c r="D90" s="713"/>
      <c r="E90" s="713"/>
      <c r="F90" s="713"/>
      <c r="G90" s="713"/>
      <c r="H90" s="713"/>
      <c r="I90" s="713"/>
      <c r="J90" s="713"/>
      <c r="K90" s="713"/>
    </row>
  </sheetData>
  <mergeCells count="2">
    <mergeCell ref="F2:H2"/>
    <mergeCell ref="I2:K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133"/>
  <sheetViews>
    <sheetView workbookViewId="0">
      <selection activeCell="H15" sqref="H15"/>
    </sheetView>
  </sheetViews>
  <sheetFormatPr defaultRowHeight="15"/>
  <cols>
    <col min="1" max="1" width="30.85546875" customWidth="1"/>
    <col min="2" max="2" width="3.42578125" customWidth="1"/>
    <col min="3" max="3" width="32.7109375" customWidth="1"/>
  </cols>
  <sheetData>
    <row r="1" spans="1:11">
      <c r="A1" s="841" t="s">
        <v>441</v>
      </c>
      <c r="B1" s="841"/>
      <c r="C1" s="841"/>
      <c r="D1" s="841"/>
      <c r="E1" s="841"/>
      <c r="F1" s="841"/>
      <c r="G1" s="841"/>
      <c r="H1" s="841"/>
      <c r="I1" s="841"/>
      <c r="J1" s="841"/>
      <c r="K1" s="841"/>
    </row>
    <row r="2" spans="1:11">
      <c r="A2" s="889" t="s">
        <v>442</v>
      </c>
      <c r="B2" s="870" t="s">
        <v>67</v>
      </c>
      <c r="C2" s="1441" t="s">
        <v>443</v>
      </c>
      <c r="D2" s="1444" t="s">
        <v>445</v>
      </c>
      <c r="E2" s="1441" t="s">
        <v>446</v>
      </c>
      <c r="F2" s="1443"/>
      <c r="G2" s="1419" t="s">
        <v>5</v>
      </c>
      <c r="H2" s="1420"/>
      <c r="I2" s="1421"/>
      <c r="J2" s="1439" t="s">
        <v>447</v>
      </c>
      <c r="K2" s="1440"/>
    </row>
    <row r="3" spans="1:11" ht="51">
      <c r="A3" s="843" t="s">
        <v>68</v>
      </c>
      <c r="B3" s="924">
        <v>4</v>
      </c>
      <c r="C3" s="1442"/>
      <c r="D3" s="1445"/>
      <c r="E3" s="879" t="s">
        <v>449</v>
      </c>
      <c r="F3" s="880" t="s">
        <v>450</v>
      </c>
      <c r="G3" s="855" t="s">
        <v>12</v>
      </c>
      <c r="H3" s="867" t="s">
        <v>13</v>
      </c>
      <c r="I3" s="868" t="s">
        <v>14</v>
      </c>
      <c r="J3" s="890" t="s">
        <v>451</v>
      </c>
      <c r="K3" s="880" t="s">
        <v>452</v>
      </c>
    </row>
    <row r="4" spans="1:11">
      <c r="A4" s="881" t="s">
        <v>453</v>
      </c>
      <c r="B4" s="882"/>
      <c r="C4" s="883"/>
      <c r="D4" s="864"/>
      <c r="E4" s="856"/>
      <c r="F4" s="857"/>
      <c r="G4" s="858"/>
      <c r="H4" s="856"/>
      <c r="I4" s="859"/>
      <c r="J4" s="884"/>
      <c r="K4" s="885"/>
    </row>
    <row r="5" spans="1:11">
      <c r="A5" s="900" t="s">
        <v>454</v>
      </c>
      <c r="B5" s="891"/>
      <c r="C5" s="892"/>
      <c r="D5" s="893"/>
      <c r="E5" s="894"/>
      <c r="F5" s="895"/>
      <c r="G5" s="896"/>
      <c r="H5" s="894"/>
      <c r="I5" s="897"/>
      <c r="J5" s="898"/>
      <c r="K5" s="899"/>
    </row>
    <row r="6" spans="1:11">
      <c r="A6" s="887"/>
      <c r="B6" s="865"/>
      <c r="C6" s="872"/>
      <c r="D6" s="848"/>
      <c r="E6" s="845"/>
      <c r="F6" s="844"/>
      <c r="G6" s="847"/>
      <c r="H6" s="845"/>
      <c r="I6" s="846"/>
      <c r="J6" s="874"/>
      <c r="K6" s="888"/>
    </row>
    <row r="7" spans="1:11">
      <c r="A7" s="909" t="s">
        <v>455</v>
      </c>
      <c r="B7" s="906"/>
      <c r="C7" s="925" t="s">
        <v>456</v>
      </c>
      <c r="D7" s="926">
        <v>17536620</v>
      </c>
      <c r="E7" s="901">
        <v>1828433.8070175436</v>
      </c>
      <c r="F7" s="905">
        <v>142365.67000000001</v>
      </c>
      <c r="G7" s="904"/>
      <c r="H7" s="901"/>
      <c r="I7" s="903"/>
      <c r="J7" s="910" t="s">
        <v>457</v>
      </c>
      <c r="K7" s="911" t="s">
        <v>458</v>
      </c>
    </row>
    <row r="8" spans="1:11">
      <c r="A8" s="908" t="s">
        <v>455</v>
      </c>
      <c r="B8" s="906"/>
      <c r="C8" s="912" t="s">
        <v>456</v>
      </c>
      <c r="D8" s="926">
        <v>12869531</v>
      </c>
      <c r="E8" s="901">
        <v>5679990.0701754401</v>
      </c>
      <c r="F8" s="905">
        <v>286075.63</v>
      </c>
      <c r="G8" s="904"/>
      <c r="H8" s="901"/>
      <c r="I8" s="903"/>
      <c r="J8" s="910" t="s">
        <v>459</v>
      </c>
      <c r="K8" s="911" t="s">
        <v>458</v>
      </c>
    </row>
    <row r="9" spans="1:11">
      <c r="A9" s="913" t="s">
        <v>455</v>
      </c>
      <c r="B9" s="906"/>
      <c r="C9" s="912" t="s">
        <v>460</v>
      </c>
      <c r="D9" s="926">
        <v>3278000</v>
      </c>
      <c r="E9" s="901">
        <v>402814.07894736849</v>
      </c>
      <c r="F9" s="905"/>
      <c r="G9" s="904"/>
      <c r="H9" s="901"/>
      <c r="I9" s="903"/>
      <c r="J9" s="910" t="s">
        <v>461</v>
      </c>
      <c r="K9" s="911" t="s">
        <v>462</v>
      </c>
    </row>
    <row r="10" spans="1:11">
      <c r="A10" s="914" t="s">
        <v>455</v>
      </c>
      <c r="B10" s="906"/>
      <c r="C10" s="912" t="s">
        <v>463</v>
      </c>
      <c r="D10" s="926">
        <v>1917446</v>
      </c>
      <c r="E10" s="901"/>
      <c r="F10" s="905">
        <v>6433288</v>
      </c>
      <c r="G10" s="904"/>
      <c r="H10" s="901"/>
      <c r="I10" s="903"/>
      <c r="J10" s="910" t="s">
        <v>461</v>
      </c>
      <c r="K10" s="911" t="s">
        <v>462</v>
      </c>
    </row>
    <row r="11" spans="1:11">
      <c r="A11" s="908" t="s">
        <v>455</v>
      </c>
      <c r="B11" s="906"/>
      <c r="C11" s="912" t="s">
        <v>464</v>
      </c>
      <c r="D11" s="927" t="s">
        <v>465</v>
      </c>
      <c r="E11" s="901"/>
      <c r="F11" s="905">
        <v>725000</v>
      </c>
      <c r="G11" s="904"/>
      <c r="H11" s="901"/>
      <c r="I11" s="903"/>
      <c r="J11" s="910" t="s">
        <v>466</v>
      </c>
      <c r="K11" s="911" t="s">
        <v>458</v>
      </c>
    </row>
    <row r="12" spans="1:11">
      <c r="A12" s="913" t="s">
        <v>467</v>
      </c>
      <c r="B12" s="906"/>
      <c r="C12" s="912" t="s">
        <v>468</v>
      </c>
      <c r="D12" s="927">
        <v>7011000</v>
      </c>
      <c r="E12" s="901"/>
      <c r="F12" s="905">
        <v>944100</v>
      </c>
      <c r="G12" s="904">
        <v>7000000</v>
      </c>
      <c r="H12" s="901">
        <v>7000000</v>
      </c>
      <c r="I12" s="903">
        <v>5371100</v>
      </c>
      <c r="J12" s="910" t="s">
        <v>469</v>
      </c>
      <c r="K12" s="911" t="s">
        <v>462</v>
      </c>
    </row>
    <row r="13" spans="1:11">
      <c r="A13" s="913" t="s">
        <v>467</v>
      </c>
      <c r="B13" s="906"/>
      <c r="C13" s="912" t="s">
        <v>470</v>
      </c>
      <c r="D13" s="927">
        <v>500000</v>
      </c>
      <c r="E13" s="901"/>
      <c r="F13" s="905">
        <v>500000</v>
      </c>
      <c r="G13" s="904"/>
      <c r="H13" s="901"/>
      <c r="I13" s="903"/>
      <c r="J13" s="910" t="s">
        <v>471</v>
      </c>
      <c r="K13" s="911" t="s">
        <v>462</v>
      </c>
    </row>
    <row r="14" spans="1:11">
      <c r="A14" s="913" t="s">
        <v>455</v>
      </c>
      <c r="B14" s="906"/>
      <c r="C14" s="912" t="s">
        <v>464</v>
      </c>
      <c r="D14" s="927">
        <v>2800000</v>
      </c>
      <c r="E14" s="901"/>
      <c r="F14" s="905"/>
      <c r="G14" s="904">
        <v>1500000</v>
      </c>
      <c r="H14" s="901">
        <v>1300000</v>
      </c>
      <c r="I14" s="903"/>
      <c r="J14" s="910" t="s">
        <v>472</v>
      </c>
      <c r="K14" s="911" t="s">
        <v>458</v>
      </c>
    </row>
    <row r="15" spans="1:11">
      <c r="A15" s="913" t="s">
        <v>455</v>
      </c>
      <c r="B15" s="906"/>
      <c r="C15" s="912" t="s">
        <v>473</v>
      </c>
      <c r="D15" s="927">
        <v>11000000</v>
      </c>
      <c r="E15" s="901"/>
      <c r="F15" s="905"/>
      <c r="G15" s="904">
        <v>3500000</v>
      </c>
      <c r="H15" s="901">
        <v>5385200</v>
      </c>
      <c r="I15" s="903">
        <v>2114800</v>
      </c>
      <c r="J15" s="910" t="s">
        <v>474</v>
      </c>
      <c r="K15" s="911" t="s">
        <v>462</v>
      </c>
    </row>
    <row r="16" spans="1:11">
      <c r="A16" s="913" t="s">
        <v>90</v>
      </c>
      <c r="B16" s="906"/>
      <c r="C16" s="912" t="s">
        <v>475</v>
      </c>
      <c r="D16" s="927"/>
      <c r="E16" s="901">
        <v>2019738.8859649124</v>
      </c>
      <c r="F16" s="905">
        <v>1219525</v>
      </c>
      <c r="G16" s="904"/>
      <c r="H16" s="901"/>
      <c r="I16" s="903"/>
      <c r="J16" s="910" t="s">
        <v>461</v>
      </c>
      <c r="K16" s="911" t="s">
        <v>462</v>
      </c>
    </row>
    <row r="17" spans="1:11">
      <c r="A17" s="908" t="s">
        <v>476</v>
      </c>
      <c r="B17" s="906"/>
      <c r="C17" s="912" t="s">
        <v>477</v>
      </c>
      <c r="D17" s="927">
        <v>8949000</v>
      </c>
      <c r="E17" s="901">
        <v>1000204.8245614035</v>
      </c>
      <c r="F17" s="905">
        <v>7808766.5000000009</v>
      </c>
      <c r="G17" s="904"/>
      <c r="H17" s="901"/>
      <c r="I17" s="903"/>
      <c r="J17" s="910" t="s">
        <v>469</v>
      </c>
      <c r="K17" s="911" t="s">
        <v>462</v>
      </c>
    </row>
    <row r="18" spans="1:11">
      <c r="A18" s="913" t="s">
        <v>476</v>
      </c>
      <c r="B18" s="906"/>
      <c r="C18" s="912" t="s">
        <v>478</v>
      </c>
      <c r="D18" s="927">
        <v>36000000</v>
      </c>
      <c r="E18" s="901">
        <v>12084374.560000001</v>
      </c>
      <c r="F18" s="905">
        <v>16000000</v>
      </c>
      <c r="G18" s="904">
        <v>17000000</v>
      </c>
      <c r="H18" s="901">
        <v>6466000</v>
      </c>
      <c r="I18" s="903"/>
      <c r="J18" s="910" t="s">
        <v>474</v>
      </c>
      <c r="K18" s="911" t="s">
        <v>458</v>
      </c>
    </row>
    <row r="19" spans="1:11">
      <c r="A19" s="914" t="s">
        <v>476</v>
      </c>
      <c r="B19" s="906"/>
      <c r="C19" s="912" t="s">
        <v>479</v>
      </c>
      <c r="D19" s="927">
        <v>21633000</v>
      </c>
      <c r="E19" s="901"/>
      <c r="F19" s="905"/>
      <c r="G19" s="904"/>
      <c r="H19" s="901"/>
      <c r="I19" s="903"/>
      <c r="J19" s="910" t="s">
        <v>469</v>
      </c>
      <c r="K19" s="911" t="s">
        <v>458</v>
      </c>
    </row>
    <row r="20" spans="1:11">
      <c r="A20" s="913" t="s">
        <v>90</v>
      </c>
      <c r="B20" s="906"/>
      <c r="C20" s="912" t="s">
        <v>480</v>
      </c>
      <c r="D20" s="927" t="s">
        <v>481</v>
      </c>
      <c r="E20" s="901"/>
      <c r="F20" s="905">
        <v>500000</v>
      </c>
      <c r="G20" s="904"/>
      <c r="H20" s="901"/>
      <c r="I20" s="903"/>
      <c r="J20" s="910" t="s">
        <v>471</v>
      </c>
      <c r="K20" s="911" t="s">
        <v>462</v>
      </c>
    </row>
    <row r="21" spans="1:11">
      <c r="A21" s="913" t="s">
        <v>90</v>
      </c>
      <c r="B21" s="906"/>
      <c r="C21" s="912" t="s">
        <v>482</v>
      </c>
      <c r="D21" s="927" t="s">
        <v>481</v>
      </c>
      <c r="E21" s="901"/>
      <c r="F21" s="905">
        <v>500000</v>
      </c>
      <c r="G21" s="904"/>
      <c r="H21" s="901"/>
      <c r="I21" s="903"/>
      <c r="J21" s="910" t="s">
        <v>471</v>
      </c>
      <c r="K21" s="911" t="s">
        <v>458</v>
      </c>
    </row>
    <row r="22" spans="1:11">
      <c r="A22" s="913" t="s">
        <v>476</v>
      </c>
      <c r="B22" s="906"/>
      <c r="C22" s="912" t="s">
        <v>483</v>
      </c>
      <c r="D22" s="927">
        <v>3500000</v>
      </c>
      <c r="E22" s="901"/>
      <c r="F22" s="905"/>
      <c r="G22" s="904">
        <v>1976050</v>
      </c>
      <c r="H22" s="901">
        <v>1523950</v>
      </c>
      <c r="I22" s="903"/>
      <c r="J22" s="910" t="s">
        <v>472</v>
      </c>
      <c r="K22" s="911" t="s">
        <v>458</v>
      </c>
    </row>
    <row r="23" spans="1:11">
      <c r="A23" s="908" t="s">
        <v>86</v>
      </c>
      <c r="B23" s="906"/>
      <c r="C23" s="912" t="s">
        <v>484</v>
      </c>
      <c r="D23" s="927">
        <v>19700000</v>
      </c>
      <c r="E23" s="901"/>
      <c r="F23" s="905">
        <v>969679.19999999739</v>
      </c>
      <c r="G23" s="904">
        <v>5000000</v>
      </c>
      <c r="H23" s="901">
        <v>5000000</v>
      </c>
      <c r="I23" s="903">
        <v>9474100</v>
      </c>
      <c r="J23" s="910" t="s">
        <v>471</v>
      </c>
      <c r="K23" s="911" t="s">
        <v>462</v>
      </c>
    </row>
    <row r="24" spans="1:11">
      <c r="A24" s="913" t="s">
        <v>485</v>
      </c>
      <c r="B24" s="906"/>
      <c r="C24" s="912" t="s">
        <v>486</v>
      </c>
      <c r="D24" s="927" t="s">
        <v>487</v>
      </c>
      <c r="E24" s="901"/>
      <c r="F24" s="905"/>
      <c r="G24" s="904">
        <v>3500000</v>
      </c>
      <c r="H24" s="901">
        <v>3500000</v>
      </c>
      <c r="I24" s="903">
        <v>3500000</v>
      </c>
      <c r="J24" s="910" t="s">
        <v>471</v>
      </c>
      <c r="K24" s="911" t="s">
        <v>462</v>
      </c>
    </row>
    <row r="25" spans="1:11" ht="38.25">
      <c r="A25" s="913" t="s">
        <v>89</v>
      </c>
      <c r="B25" s="906"/>
      <c r="C25" s="912" t="s">
        <v>488</v>
      </c>
      <c r="D25" s="927">
        <v>4620000</v>
      </c>
      <c r="E25" s="901"/>
      <c r="F25" s="905"/>
      <c r="G25" s="904"/>
      <c r="H25" s="901"/>
      <c r="I25" s="903">
        <v>4620000</v>
      </c>
      <c r="J25" s="928" t="s">
        <v>489</v>
      </c>
      <c r="K25" s="911" t="s">
        <v>458</v>
      </c>
    </row>
    <row r="26" spans="1:11">
      <c r="A26" s="914"/>
      <c r="B26" s="906"/>
      <c r="C26" s="912" t="s">
        <v>490</v>
      </c>
      <c r="D26" s="927">
        <v>1230000</v>
      </c>
      <c r="E26" s="901"/>
      <c r="F26" s="905">
        <v>1230000</v>
      </c>
      <c r="G26" s="904">
        <v>300000</v>
      </c>
      <c r="H26" s="901"/>
      <c r="I26" s="903"/>
      <c r="J26" s="910" t="s">
        <v>471</v>
      </c>
      <c r="K26" s="911" t="s">
        <v>458</v>
      </c>
    </row>
    <row r="27" spans="1:11">
      <c r="A27" s="908"/>
      <c r="B27" s="906"/>
      <c r="C27" s="912" t="s">
        <v>491</v>
      </c>
      <c r="D27" s="927">
        <v>633000</v>
      </c>
      <c r="E27" s="901">
        <v>611060</v>
      </c>
      <c r="F27" s="905">
        <v>633000</v>
      </c>
      <c r="G27" s="904">
        <v>1680000</v>
      </c>
      <c r="H27" s="901"/>
      <c r="I27" s="903"/>
      <c r="J27" s="910" t="s">
        <v>492</v>
      </c>
      <c r="K27" s="911" t="s">
        <v>458</v>
      </c>
    </row>
    <row r="28" spans="1:11">
      <c r="A28" s="908" t="s">
        <v>343</v>
      </c>
      <c r="B28" s="906"/>
      <c r="C28" s="912" t="s">
        <v>493</v>
      </c>
      <c r="D28" s="927"/>
      <c r="E28" s="901">
        <v>93000</v>
      </c>
      <c r="F28" s="905">
        <v>1600000</v>
      </c>
      <c r="G28" s="904"/>
      <c r="H28" s="901"/>
      <c r="I28" s="903"/>
      <c r="J28" s="910" t="s">
        <v>494</v>
      </c>
      <c r="K28" s="911" t="s">
        <v>458</v>
      </c>
    </row>
    <row r="29" spans="1:11">
      <c r="A29" s="908" t="s">
        <v>495</v>
      </c>
      <c r="B29" s="906"/>
      <c r="C29" s="912" t="s">
        <v>496</v>
      </c>
      <c r="D29" s="927" t="s">
        <v>497</v>
      </c>
      <c r="E29" s="901">
        <v>345814.07</v>
      </c>
      <c r="F29" s="905"/>
      <c r="G29" s="904">
        <v>730000</v>
      </c>
      <c r="H29" s="901">
        <v>0</v>
      </c>
      <c r="I29" s="903">
        <v>0</v>
      </c>
      <c r="J29" s="910" t="s">
        <v>494</v>
      </c>
      <c r="K29" s="911" t="s">
        <v>458</v>
      </c>
    </row>
    <row r="30" spans="1:11">
      <c r="A30" s="875" t="s">
        <v>498</v>
      </c>
      <c r="B30" s="876">
        <v>1</v>
      </c>
      <c r="C30" s="915"/>
      <c r="D30" s="854"/>
      <c r="E30" s="853"/>
      <c r="F30" s="852"/>
      <c r="G30" s="854">
        <v>42186050</v>
      </c>
      <c r="H30" s="853">
        <v>30175150</v>
      </c>
      <c r="I30" s="877">
        <v>25080000</v>
      </c>
      <c r="J30" s="917">
        <v>0</v>
      </c>
      <c r="K30" s="918">
        <v>0</v>
      </c>
    </row>
    <row r="31" spans="1:11">
      <c r="A31" s="887"/>
      <c r="B31" s="865"/>
      <c r="C31" s="872"/>
      <c r="D31" s="848"/>
      <c r="E31" s="845"/>
      <c r="F31" s="844"/>
      <c r="G31" s="847"/>
      <c r="H31" s="845"/>
      <c r="I31" s="846"/>
      <c r="J31" s="874"/>
      <c r="K31" s="888"/>
    </row>
    <row r="32" spans="1:11">
      <c r="A32" s="873" t="s">
        <v>499</v>
      </c>
      <c r="B32" s="865"/>
      <c r="C32" s="872"/>
      <c r="D32" s="848"/>
      <c r="E32" s="845"/>
      <c r="F32" s="844"/>
      <c r="G32" s="847"/>
      <c r="H32" s="845"/>
      <c r="I32" s="846"/>
      <c r="J32" s="874"/>
      <c r="K32" s="888"/>
    </row>
    <row r="33" spans="1:11">
      <c r="A33" s="866" t="s">
        <v>500</v>
      </c>
      <c r="B33" s="865"/>
      <c r="C33" s="872"/>
      <c r="D33" s="869"/>
      <c r="E33" s="860"/>
      <c r="F33" s="861"/>
      <c r="G33" s="862"/>
      <c r="H33" s="860"/>
      <c r="I33" s="863"/>
      <c r="J33" s="886"/>
      <c r="K33" s="878"/>
    </row>
    <row r="34" spans="1:11">
      <c r="A34" s="887"/>
      <c r="B34" s="865"/>
      <c r="C34" s="872"/>
      <c r="D34" s="848"/>
      <c r="E34" s="845"/>
      <c r="F34" s="844"/>
      <c r="G34" s="847"/>
      <c r="H34" s="845"/>
      <c r="I34" s="846"/>
      <c r="J34" s="874"/>
      <c r="K34" s="888"/>
    </row>
    <row r="35" spans="1:11">
      <c r="A35" s="914" t="s">
        <v>501</v>
      </c>
      <c r="B35" s="906"/>
      <c r="C35" s="907"/>
      <c r="D35" s="902"/>
      <c r="E35" s="901"/>
      <c r="F35" s="905"/>
      <c r="G35" s="904"/>
      <c r="H35" s="901"/>
      <c r="I35" s="903"/>
      <c r="J35" s="910"/>
      <c r="K35" s="911"/>
    </row>
    <row r="36" spans="1:11">
      <c r="A36" s="908" t="s">
        <v>502</v>
      </c>
      <c r="B36" s="906"/>
      <c r="C36" s="912"/>
      <c r="D36" s="902"/>
      <c r="E36" s="901"/>
      <c r="F36" s="905"/>
      <c r="G36" s="904"/>
      <c r="H36" s="901"/>
      <c r="I36" s="903"/>
      <c r="J36" s="910"/>
      <c r="K36" s="911"/>
    </row>
    <row r="37" spans="1:11">
      <c r="A37" s="913"/>
      <c r="B37" s="906"/>
      <c r="C37" s="912"/>
      <c r="D37" s="902"/>
      <c r="E37" s="901"/>
      <c r="F37" s="905"/>
      <c r="G37" s="904"/>
      <c r="H37" s="901"/>
      <c r="I37" s="903"/>
      <c r="J37" s="910"/>
      <c r="K37" s="911"/>
    </row>
    <row r="38" spans="1:11">
      <c r="A38" s="914" t="s">
        <v>503</v>
      </c>
      <c r="B38" s="906"/>
      <c r="C38" s="912"/>
      <c r="D38" s="902"/>
      <c r="E38" s="901"/>
      <c r="F38" s="905"/>
      <c r="G38" s="904"/>
      <c r="H38" s="901"/>
      <c r="I38" s="903"/>
      <c r="J38" s="910"/>
      <c r="K38" s="911"/>
    </row>
    <row r="39" spans="1:11">
      <c r="A39" s="908" t="s">
        <v>504</v>
      </c>
      <c r="B39" s="906"/>
      <c r="C39" s="912"/>
      <c r="D39" s="902"/>
      <c r="E39" s="901"/>
      <c r="F39" s="905"/>
      <c r="G39" s="904"/>
      <c r="H39" s="901"/>
      <c r="I39" s="903"/>
      <c r="J39" s="910"/>
      <c r="K39" s="911"/>
    </row>
    <row r="40" spans="1:11">
      <c r="A40" s="908"/>
      <c r="B40" s="906"/>
      <c r="C40" s="912"/>
      <c r="D40" s="902"/>
      <c r="E40" s="901"/>
      <c r="F40" s="905"/>
      <c r="G40" s="904"/>
      <c r="H40" s="901"/>
      <c r="I40" s="903"/>
      <c r="J40" s="910"/>
      <c r="K40" s="911"/>
    </row>
    <row r="41" spans="1:11">
      <c r="A41" s="908"/>
      <c r="B41" s="906"/>
      <c r="C41" s="912"/>
      <c r="D41" s="902"/>
      <c r="E41" s="901"/>
      <c r="F41" s="905"/>
      <c r="G41" s="904"/>
      <c r="H41" s="901"/>
      <c r="I41" s="903"/>
      <c r="J41" s="910"/>
      <c r="K41" s="911"/>
    </row>
    <row r="42" spans="1:11">
      <c r="A42" s="913"/>
      <c r="B42" s="906"/>
      <c r="C42" s="912"/>
      <c r="D42" s="902"/>
      <c r="E42" s="901"/>
      <c r="F42" s="905"/>
      <c r="G42" s="904"/>
      <c r="H42" s="901"/>
      <c r="I42" s="903"/>
      <c r="J42" s="910"/>
      <c r="K42" s="911"/>
    </row>
    <row r="43" spans="1:11">
      <c r="A43" s="916" t="s">
        <v>505</v>
      </c>
      <c r="B43" s="876"/>
      <c r="C43" s="919"/>
      <c r="D43" s="854"/>
      <c r="E43" s="853">
        <v>0</v>
      </c>
      <c r="F43" s="877">
        <v>0</v>
      </c>
      <c r="G43" s="854">
        <v>0</v>
      </c>
      <c r="H43" s="853">
        <v>0</v>
      </c>
      <c r="I43" s="877">
        <v>0</v>
      </c>
      <c r="J43" s="923"/>
      <c r="K43" s="922"/>
    </row>
    <row r="44" spans="1:11">
      <c r="A44" s="916" t="s">
        <v>506</v>
      </c>
      <c r="B44" s="876"/>
      <c r="C44" s="919"/>
      <c r="D44" s="920"/>
      <c r="E44" s="849">
        <v>24065430.296666667</v>
      </c>
      <c r="F44" s="921">
        <v>39491799.999999993</v>
      </c>
      <c r="G44" s="850">
        <v>42186050</v>
      </c>
      <c r="H44" s="849">
        <v>30175150</v>
      </c>
      <c r="I44" s="921">
        <v>25080000</v>
      </c>
      <c r="J44" s="871"/>
      <c r="K44" s="851"/>
    </row>
    <row r="45" spans="1:11">
      <c r="A45" s="840"/>
      <c r="B45" s="842"/>
      <c r="C45" s="840"/>
      <c r="D45" s="840"/>
      <c r="E45" s="840"/>
    </row>
    <row r="46" spans="1:11">
      <c r="A46" s="840"/>
      <c r="B46" s="842"/>
      <c r="C46" s="840"/>
      <c r="D46" s="840"/>
      <c r="E46" s="840"/>
    </row>
    <row r="47" spans="1:11">
      <c r="A47" s="840"/>
      <c r="B47" s="842"/>
      <c r="C47" s="840"/>
      <c r="D47" s="840"/>
      <c r="E47" s="840"/>
    </row>
    <row r="48" spans="1:11">
      <c r="A48" s="840"/>
      <c r="B48" s="842"/>
      <c r="C48" s="840"/>
      <c r="D48" s="840"/>
      <c r="E48" s="840"/>
    </row>
    <row r="49" spans="1:5">
      <c r="A49" s="840"/>
      <c r="B49" s="842"/>
      <c r="C49" s="840"/>
      <c r="D49" s="840"/>
      <c r="E49" s="840"/>
    </row>
    <row r="50" spans="1:5">
      <c r="A50" s="840"/>
      <c r="B50" s="842"/>
      <c r="C50" s="840"/>
      <c r="D50" s="840"/>
      <c r="E50" s="840"/>
    </row>
    <row r="51" spans="1:5">
      <c r="A51" s="840"/>
      <c r="B51" s="842"/>
      <c r="C51" s="840"/>
      <c r="D51" s="840"/>
      <c r="E51" s="840"/>
    </row>
    <row r="52" spans="1:5">
      <c r="A52" s="840"/>
      <c r="B52" s="842"/>
      <c r="C52" s="840"/>
      <c r="D52" s="840"/>
      <c r="E52" s="840"/>
    </row>
    <row r="53" spans="1:5">
      <c r="A53" s="840"/>
      <c r="B53" s="842"/>
      <c r="C53" s="840"/>
      <c r="D53" s="840"/>
      <c r="E53" s="840"/>
    </row>
    <row r="54" spans="1:5">
      <c r="A54" s="840"/>
      <c r="B54" s="842"/>
      <c r="C54" s="840"/>
      <c r="D54" s="840"/>
      <c r="E54" s="840"/>
    </row>
    <row r="55" spans="1:5">
      <c r="A55" s="840"/>
      <c r="B55" s="842"/>
      <c r="C55" s="840"/>
      <c r="D55" s="840"/>
      <c r="E55" s="840"/>
    </row>
    <row r="56" spans="1:5">
      <c r="A56" s="840"/>
      <c r="B56" s="842"/>
      <c r="C56" s="840"/>
      <c r="D56" s="840"/>
      <c r="E56" s="840"/>
    </row>
    <row r="57" spans="1:5">
      <c r="A57" s="840"/>
      <c r="B57" s="842"/>
      <c r="C57" s="840"/>
      <c r="D57" s="840"/>
      <c r="E57" s="840"/>
    </row>
    <row r="58" spans="1:5">
      <c r="B58" s="842"/>
    </row>
    <row r="59" spans="1:5">
      <c r="B59" s="842"/>
    </row>
    <row r="60" spans="1:5">
      <c r="B60" s="842"/>
    </row>
    <row r="61" spans="1:5">
      <c r="B61" s="842"/>
    </row>
    <row r="62" spans="1:5">
      <c r="B62" s="842"/>
    </row>
    <row r="63" spans="1:5">
      <c r="B63" s="842"/>
    </row>
    <row r="64" spans="1:5">
      <c r="B64" s="842"/>
    </row>
    <row r="65" spans="2:2">
      <c r="B65" s="842"/>
    </row>
    <row r="66" spans="2:2">
      <c r="B66" s="842"/>
    </row>
    <row r="67" spans="2:2">
      <c r="B67" s="842"/>
    </row>
    <row r="68" spans="2:2">
      <c r="B68" s="842"/>
    </row>
    <row r="69" spans="2:2">
      <c r="B69" s="842"/>
    </row>
    <row r="70" spans="2:2">
      <c r="B70" s="842"/>
    </row>
    <row r="71" spans="2:2">
      <c r="B71" s="842"/>
    </row>
    <row r="72" spans="2:2">
      <c r="B72" s="842"/>
    </row>
    <row r="73" spans="2:2">
      <c r="B73" s="842"/>
    </row>
    <row r="74" spans="2:2">
      <c r="B74" s="842"/>
    </row>
    <row r="75" spans="2:2">
      <c r="B75" s="842"/>
    </row>
    <row r="76" spans="2:2">
      <c r="B76" s="842"/>
    </row>
    <row r="77" spans="2:2">
      <c r="B77" s="842"/>
    </row>
    <row r="78" spans="2:2">
      <c r="B78" s="842"/>
    </row>
    <row r="79" spans="2:2">
      <c r="B79" s="842"/>
    </row>
    <row r="80" spans="2:2">
      <c r="B80" s="842"/>
    </row>
    <row r="81" spans="2:2">
      <c r="B81" s="842"/>
    </row>
    <row r="82" spans="2:2">
      <c r="B82" s="842"/>
    </row>
    <row r="83" spans="2:2">
      <c r="B83" s="842"/>
    </row>
    <row r="84" spans="2:2">
      <c r="B84" s="842"/>
    </row>
    <row r="85" spans="2:2">
      <c r="B85" s="842"/>
    </row>
    <row r="86" spans="2:2">
      <c r="B86" s="842"/>
    </row>
    <row r="87" spans="2:2">
      <c r="B87" s="842"/>
    </row>
    <row r="88" spans="2:2">
      <c r="B88" s="842"/>
    </row>
    <row r="89" spans="2:2">
      <c r="B89" s="842"/>
    </row>
    <row r="90" spans="2:2">
      <c r="B90" s="842"/>
    </row>
    <row r="91" spans="2:2">
      <c r="B91" s="842"/>
    </row>
    <row r="92" spans="2:2">
      <c r="B92" s="842"/>
    </row>
    <row r="93" spans="2:2">
      <c r="B93" s="842"/>
    </row>
    <row r="94" spans="2:2">
      <c r="B94" s="842"/>
    </row>
    <row r="95" spans="2:2">
      <c r="B95" s="842"/>
    </row>
    <row r="96" spans="2:2">
      <c r="B96" s="842"/>
    </row>
    <row r="97" spans="2:2">
      <c r="B97" s="842"/>
    </row>
    <row r="98" spans="2:2">
      <c r="B98" s="842"/>
    </row>
    <row r="99" spans="2:2">
      <c r="B99" s="842"/>
    </row>
    <row r="100" spans="2:2">
      <c r="B100" s="842"/>
    </row>
    <row r="101" spans="2:2">
      <c r="B101" s="842"/>
    </row>
    <row r="102" spans="2:2">
      <c r="B102" s="842"/>
    </row>
    <row r="103" spans="2:2">
      <c r="B103" s="842"/>
    </row>
    <row r="104" spans="2:2">
      <c r="B104" s="842"/>
    </row>
    <row r="105" spans="2:2">
      <c r="B105" s="842"/>
    </row>
    <row r="106" spans="2:2">
      <c r="B106" s="842"/>
    </row>
    <row r="107" spans="2:2">
      <c r="B107" s="842"/>
    </row>
    <row r="108" spans="2:2">
      <c r="B108" s="842"/>
    </row>
    <row r="109" spans="2:2">
      <c r="B109" s="842"/>
    </row>
    <row r="110" spans="2:2">
      <c r="B110" s="842"/>
    </row>
    <row r="111" spans="2:2">
      <c r="B111" s="842"/>
    </row>
    <row r="112" spans="2:2">
      <c r="B112" s="842"/>
    </row>
    <row r="113" spans="2:2">
      <c r="B113" s="842"/>
    </row>
    <row r="114" spans="2:2">
      <c r="B114" s="842"/>
    </row>
    <row r="115" spans="2:2">
      <c r="B115" s="842"/>
    </row>
    <row r="116" spans="2:2">
      <c r="B116" s="842"/>
    </row>
    <row r="117" spans="2:2">
      <c r="B117" s="842"/>
    </row>
    <row r="118" spans="2:2">
      <c r="B118" s="842"/>
    </row>
    <row r="119" spans="2:2">
      <c r="B119" s="842"/>
    </row>
    <row r="120" spans="2:2">
      <c r="B120" s="842"/>
    </row>
    <row r="121" spans="2:2">
      <c r="B121" s="842"/>
    </row>
    <row r="122" spans="2:2">
      <c r="B122" s="842"/>
    </row>
    <row r="123" spans="2:2">
      <c r="B123" s="842"/>
    </row>
    <row r="124" spans="2:2">
      <c r="B124" s="842"/>
    </row>
    <row r="125" spans="2:2">
      <c r="B125" s="842"/>
    </row>
    <row r="126" spans="2:2">
      <c r="B126" s="842"/>
    </row>
    <row r="127" spans="2:2">
      <c r="B127" s="842"/>
    </row>
    <row r="128" spans="2:2">
      <c r="B128" s="842"/>
    </row>
    <row r="129" spans="2:2">
      <c r="B129" s="842"/>
    </row>
    <row r="130" spans="2:2">
      <c r="B130" s="842"/>
    </row>
    <row r="131" spans="2:2">
      <c r="B131" s="842"/>
    </row>
    <row r="132" spans="2:2">
      <c r="B132" s="842"/>
    </row>
    <row r="133" spans="2:2">
      <c r="B133" s="842"/>
    </row>
  </sheetData>
  <mergeCells count="5">
    <mergeCell ref="J2:K2"/>
    <mergeCell ref="C2:C3"/>
    <mergeCell ref="E2:F2"/>
    <mergeCell ref="D2:D3"/>
    <mergeCell ref="G2:I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24" sqref="A24"/>
    </sheetView>
  </sheetViews>
  <sheetFormatPr defaultRowHeight="15"/>
  <sheetData>
    <row r="1" spans="1:13">
      <c r="A1" s="932" t="s">
        <v>507</v>
      </c>
      <c r="B1" s="1011"/>
      <c r="C1" s="932"/>
      <c r="D1" s="932"/>
      <c r="E1" s="932"/>
      <c r="F1" s="932"/>
      <c r="G1" s="932"/>
      <c r="H1" s="932"/>
      <c r="I1" s="932"/>
      <c r="J1" s="932"/>
      <c r="K1" s="932"/>
      <c r="L1" s="932"/>
      <c r="M1" s="932"/>
    </row>
    <row r="2" spans="1:13">
      <c r="A2" s="1446" t="s">
        <v>442</v>
      </c>
      <c r="B2" s="1012" t="s">
        <v>508</v>
      </c>
      <c r="C2" s="1450" t="s">
        <v>509</v>
      </c>
      <c r="D2" s="1441" t="s">
        <v>444</v>
      </c>
      <c r="E2" s="1441" t="s">
        <v>510</v>
      </c>
      <c r="F2" s="1439" t="s">
        <v>511</v>
      </c>
      <c r="G2" s="1455" t="s">
        <v>512</v>
      </c>
      <c r="H2" s="1439" t="s">
        <v>513</v>
      </c>
      <c r="I2" s="1449" t="s">
        <v>4</v>
      </c>
      <c r="J2" s="1420"/>
      <c r="K2" s="1419" t="s">
        <v>5</v>
      </c>
      <c r="L2" s="1420"/>
      <c r="M2" s="1421"/>
    </row>
    <row r="3" spans="1:13" ht="25.5">
      <c r="A3" s="1447"/>
      <c r="B3" s="1025" t="s">
        <v>514</v>
      </c>
      <c r="C3" s="1451"/>
      <c r="D3" s="1453" t="s">
        <v>448</v>
      </c>
      <c r="E3" s="1453"/>
      <c r="F3" s="1448"/>
      <c r="G3" s="1456"/>
      <c r="H3" s="1448"/>
      <c r="I3" s="946" t="s">
        <v>8</v>
      </c>
      <c r="J3" s="957" t="s">
        <v>10</v>
      </c>
      <c r="K3" s="933" t="s">
        <v>12</v>
      </c>
      <c r="L3" s="934" t="s">
        <v>13</v>
      </c>
      <c r="M3" s="935" t="s">
        <v>14</v>
      </c>
    </row>
    <row r="4" spans="1:13">
      <c r="A4" s="938" t="s">
        <v>68</v>
      </c>
      <c r="B4" s="1013"/>
      <c r="C4" s="1452"/>
      <c r="D4" s="1442" t="s">
        <v>325</v>
      </c>
      <c r="E4" s="1442"/>
      <c r="F4" s="1454"/>
      <c r="G4" s="1457"/>
      <c r="H4" s="1032" t="s">
        <v>515</v>
      </c>
      <c r="I4" s="930"/>
      <c r="J4" s="931"/>
      <c r="K4" s="936"/>
      <c r="L4" s="930"/>
      <c r="M4" s="937"/>
    </row>
    <row r="5" spans="1:13">
      <c r="A5" s="949" t="s">
        <v>453</v>
      </c>
      <c r="B5" s="1014"/>
      <c r="C5" s="1004"/>
      <c r="D5" s="950"/>
      <c r="E5" s="951"/>
      <c r="F5" s="952"/>
      <c r="G5" s="1029"/>
      <c r="H5" s="958"/>
      <c r="I5" s="948"/>
      <c r="J5" s="959"/>
      <c r="K5" s="960"/>
      <c r="L5" s="948"/>
      <c r="M5" s="961"/>
    </row>
    <row r="6" spans="1:13">
      <c r="A6" s="943" t="s">
        <v>454</v>
      </c>
      <c r="B6" s="1015"/>
      <c r="C6" s="1005"/>
      <c r="D6" s="953"/>
      <c r="E6" s="954" t="s">
        <v>516</v>
      </c>
      <c r="F6" s="955" t="s">
        <v>516</v>
      </c>
      <c r="G6" s="1030"/>
      <c r="H6" s="962"/>
      <c r="I6" s="963"/>
      <c r="J6" s="964"/>
      <c r="K6" s="965"/>
      <c r="L6" s="963"/>
      <c r="M6" s="966"/>
    </row>
    <row r="7" spans="1:13">
      <c r="A7" s="943"/>
      <c r="B7" s="1015"/>
      <c r="C7" s="1005"/>
      <c r="D7" s="953"/>
      <c r="E7" s="954"/>
      <c r="F7" s="955"/>
      <c r="G7" s="1030"/>
      <c r="H7" s="962"/>
      <c r="I7" s="963"/>
      <c r="J7" s="964"/>
      <c r="K7" s="965"/>
      <c r="L7" s="963"/>
      <c r="M7" s="966"/>
    </row>
    <row r="8" spans="1:13">
      <c r="A8" s="989"/>
      <c r="B8" s="1016"/>
      <c r="C8" s="1006"/>
      <c r="D8" s="983"/>
      <c r="E8" s="987"/>
      <c r="F8" s="988"/>
      <c r="G8" s="1031"/>
      <c r="H8" s="990"/>
      <c r="I8" s="984"/>
      <c r="J8" s="991"/>
      <c r="K8" s="985"/>
      <c r="L8" s="984"/>
      <c r="M8" s="986"/>
    </row>
    <row r="9" spans="1:13">
      <c r="A9" s="979"/>
      <c r="B9" s="1017"/>
      <c r="C9" s="1007"/>
      <c r="D9" s="982"/>
      <c r="E9" s="987"/>
      <c r="F9" s="988"/>
      <c r="G9" s="1031"/>
      <c r="H9" s="978"/>
      <c r="I9" s="968"/>
      <c r="J9" s="969"/>
      <c r="K9" s="971"/>
      <c r="L9" s="968"/>
      <c r="M9" s="970"/>
    </row>
    <row r="10" spans="1:13" ht="15.75">
      <c r="A10" s="979"/>
      <c r="B10" s="1017"/>
      <c r="C10" s="1007"/>
      <c r="D10" s="982"/>
      <c r="E10" s="987"/>
      <c r="F10" s="988"/>
      <c r="G10" s="1036"/>
      <c r="H10" s="978"/>
      <c r="I10" s="968"/>
      <c r="J10" s="969"/>
      <c r="K10" s="971"/>
      <c r="L10" s="968"/>
      <c r="M10" s="970"/>
    </row>
    <row r="11" spans="1:13">
      <c r="A11" s="989"/>
      <c r="B11" s="1016"/>
      <c r="C11" s="1007"/>
      <c r="D11" s="982"/>
      <c r="E11" s="987"/>
      <c r="F11" s="988"/>
      <c r="G11" s="1031"/>
      <c r="H11" s="978"/>
      <c r="I11" s="968"/>
      <c r="J11" s="969"/>
      <c r="K11" s="971"/>
      <c r="L11" s="968"/>
      <c r="M11" s="970"/>
    </row>
    <row r="12" spans="1:13">
      <c r="A12" s="979"/>
      <c r="B12" s="1017"/>
      <c r="C12" s="1007"/>
      <c r="D12" s="982"/>
      <c r="E12" s="987"/>
      <c r="F12" s="988"/>
      <c r="G12" s="1031"/>
      <c r="H12" s="978"/>
      <c r="I12" s="968"/>
      <c r="J12" s="992"/>
      <c r="K12" s="971"/>
      <c r="L12" s="968"/>
      <c r="M12" s="970"/>
    </row>
    <row r="13" spans="1:13">
      <c r="A13" s="979"/>
      <c r="B13" s="1017"/>
      <c r="C13" s="1007"/>
      <c r="D13" s="982"/>
      <c r="E13" s="987"/>
      <c r="F13" s="988"/>
      <c r="G13" s="1031"/>
      <c r="H13" s="978"/>
      <c r="I13" s="968"/>
      <c r="J13" s="969"/>
      <c r="K13" s="971"/>
      <c r="L13" s="968"/>
      <c r="M13" s="970"/>
    </row>
    <row r="14" spans="1:13">
      <c r="A14" s="993"/>
      <c r="B14" s="1018"/>
      <c r="C14" s="1008"/>
      <c r="D14" s="994"/>
      <c r="E14" s="1002"/>
      <c r="F14" s="1027"/>
      <c r="G14" s="1033"/>
      <c r="H14" s="995"/>
      <c r="I14" s="972"/>
      <c r="J14" s="996"/>
      <c r="K14" s="974"/>
      <c r="L14" s="972"/>
      <c r="M14" s="973"/>
    </row>
    <row r="15" spans="1:13">
      <c r="A15" s="942" t="s">
        <v>499</v>
      </c>
      <c r="B15" s="1019"/>
      <c r="C15" s="1009"/>
      <c r="D15" s="947"/>
      <c r="E15" s="956"/>
      <c r="F15" s="1026"/>
      <c r="G15" s="1034"/>
      <c r="H15" s="945"/>
      <c r="I15" s="939"/>
      <c r="J15" s="944"/>
      <c r="K15" s="940"/>
      <c r="L15" s="939"/>
      <c r="M15" s="941"/>
    </row>
    <row r="16" spans="1:13">
      <c r="A16" s="943" t="s">
        <v>517</v>
      </c>
      <c r="B16" s="1015"/>
      <c r="C16" s="1009"/>
      <c r="D16" s="947"/>
      <c r="E16" s="956"/>
      <c r="F16" s="1026"/>
      <c r="G16" s="1034"/>
      <c r="H16" s="945"/>
      <c r="I16" s="939"/>
      <c r="J16" s="944"/>
      <c r="K16" s="940"/>
      <c r="L16" s="939"/>
      <c r="M16" s="941"/>
    </row>
    <row r="17" spans="1:13">
      <c r="A17" s="967"/>
      <c r="B17" s="1020"/>
      <c r="C17" s="1009"/>
      <c r="D17" s="947"/>
      <c r="E17" s="956"/>
      <c r="F17" s="1026"/>
      <c r="G17" s="1034"/>
      <c r="H17" s="945"/>
      <c r="I17" s="939"/>
      <c r="J17" s="944"/>
      <c r="K17" s="940"/>
      <c r="L17" s="939"/>
      <c r="M17" s="941"/>
    </row>
    <row r="18" spans="1:13">
      <c r="A18" s="997" t="s">
        <v>518</v>
      </c>
      <c r="B18" s="1021"/>
      <c r="C18" s="1007"/>
      <c r="D18" s="982"/>
      <c r="E18" s="987"/>
      <c r="F18" s="988"/>
      <c r="G18" s="1031"/>
      <c r="H18" s="978"/>
      <c r="I18" s="968"/>
      <c r="J18" s="969"/>
      <c r="K18" s="971"/>
      <c r="L18" s="968"/>
      <c r="M18" s="970"/>
    </row>
    <row r="19" spans="1:13">
      <c r="A19" s="980" t="s">
        <v>509</v>
      </c>
      <c r="B19" s="1022"/>
      <c r="C19" s="1007"/>
      <c r="D19" s="982"/>
      <c r="E19" s="987"/>
      <c r="F19" s="988"/>
      <c r="G19" s="1031"/>
      <c r="H19" s="978"/>
      <c r="I19" s="968"/>
      <c r="J19" s="969"/>
      <c r="K19" s="971"/>
      <c r="L19" s="968"/>
      <c r="M19" s="970"/>
    </row>
    <row r="20" spans="1:13">
      <c r="A20" s="981"/>
      <c r="B20" s="1023"/>
      <c r="C20" s="1007"/>
      <c r="D20" s="982"/>
      <c r="E20" s="987"/>
      <c r="F20" s="988"/>
      <c r="G20" s="1031"/>
      <c r="H20" s="978"/>
      <c r="I20" s="968"/>
      <c r="J20" s="969"/>
      <c r="K20" s="971"/>
      <c r="L20" s="968"/>
      <c r="M20" s="970"/>
    </row>
    <row r="21" spans="1:13">
      <c r="A21" s="979"/>
      <c r="B21" s="1017"/>
      <c r="C21" s="1007"/>
      <c r="D21" s="982"/>
      <c r="E21" s="987"/>
      <c r="F21" s="988"/>
      <c r="G21" s="1031"/>
      <c r="H21" s="978"/>
      <c r="I21" s="968"/>
      <c r="J21" s="969"/>
      <c r="K21" s="971"/>
      <c r="L21" s="968"/>
      <c r="M21" s="970"/>
    </row>
    <row r="22" spans="1:13">
      <c r="A22" s="979"/>
      <c r="B22" s="1017"/>
      <c r="C22" s="1007"/>
      <c r="D22" s="982"/>
      <c r="E22" s="987"/>
      <c r="F22" s="988"/>
      <c r="G22" s="1031"/>
      <c r="H22" s="978"/>
      <c r="I22" s="968"/>
      <c r="J22" s="969"/>
      <c r="K22" s="971"/>
      <c r="L22" s="968"/>
      <c r="M22" s="970"/>
    </row>
    <row r="23" spans="1:13">
      <c r="A23" s="998"/>
      <c r="B23" s="1024"/>
      <c r="C23" s="1010"/>
      <c r="D23" s="999"/>
      <c r="E23" s="1003"/>
      <c r="F23" s="1028"/>
      <c r="G23" s="1035"/>
      <c r="H23" s="1000"/>
      <c r="I23" s="975"/>
      <c r="J23" s="1001"/>
      <c r="K23" s="977"/>
      <c r="L23" s="975"/>
      <c r="M23" s="976"/>
    </row>
    <row r="24" spans="1:13">
      <c r="A24" s="929"/>
      <c r="B24" s="929"/>
      <c r="C24" s="929"/>
      <c r="D24" s="929"/>
      <c r="E24" s="929"/>
      <c r="F24" s="929"/>
      <c r="G24" s="929"/>
      <c r="H24" s="929"/>
      <c r="I24" s="929"/>
      <c r="J24" s="929"/>
      <c r="K24" s="929"/>
      <c r="L24" s="929"/>
      <c r="M24" s="929"/>
    </row>
    <row r="25" spans="1:13">
      <c r="A25" s="929"/>
      <c r="B25" s="929"/>
      <c r="C25" s="929"/>
      <c r="D25" s="929"/>
      <c r="E25" s="929"/>
      <c r="F25" s="929"/>
      <c r="G25" s="929"/>
      <c r="H25" s="929"/>
      <c r="I25" s="929"/>
      <c r="J25" s="929"/>
      <c r="K25" s="929"/>
      <c r="L25" s="929"/>
      <c r="M25" s="929"/>
    </row>
  </sheetData>
  <mergeCells count="9">
    <mergeCell ref="A2:A3"/>
    <mergeCell ref="H2:H3"/>
    <mergeCell ref="I2:J2"/>
    <mergeCell ref="K2:M2"/>
    <mergeCell ref="C2:C4"/>
    <mergeCell ref="D2:D4"/>
    <mergeCell ref="F2:F4"/>
    <mergeCell ref="E2:E4"/>
    <mergeCell ref="G2:G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selection activeCell="A10" sqref="A10"/>
    </sheetView>
  </sheetViews>
  <sheetFormatPr defaultRowHeight="15"/>
  <cols>
    <col min="1" max="1" width="28.85546875" customWidth="1"/>
    <col min="2" max="2" width="3" customWidth="1"/>
  </cols>
  <sheetData>
    <row r="1" spans="1:15">
      <c r="A1" s="1039" t="s">
        <v>519</v>
      </c>
      <c r="B1" s="1039"/>
      <c r="C1" s="1039"/>
      <c r="D1" s="1039"/>
      <c r="E1" s="1039"/>
      <c r="F1" s="1039"/>
      <c r="G1" s="1039"/>
      <c r="H1" s="1039"/>
      <c r="I1" s="1039"/>
      <c r="J1" s="1039"/>
      <c r="K1" s="1039"/>
      <c r="L1" s="1039"/>
      <c r="M1" s="1039"/>
      <c r="N1" s="1039"/>
      <c r="O1" s="1039"/>
    </row>
    <row r="2" spans="1:15" ht="38.25">
      <c r="A2" s="1087" t="s">
        <v>0</v>
      </c>
      <c r="B2" s="1079" t="s">
        <v>67</v>
      </c>
      <c r="C2" s="1040" t="s">
        <v>520</v>
      </c>
      <c r="D2" s="1038" t="s">
        <v>4</v>
      </c>
      <c r="E2" s="1419" t="s">
        <v>5</v>
      </c>
      <c r="F2" s="1420"/>
      <c r="G2" s="1421"/>
      <c r="H2" s="1037" t="s">
        <v>97</v>
      </c>
      <c r="I2" s="1040" t="s">
        <v>98</v>
      </c>
      <c r="J2" s="1040" t="s">
        <v>99</v>
      </c>
      <c r="K2" s="1040" t="s">
        <v>100</v>
      </c>
      <c r="L2" s="1040" t="s">
        <v>101</v>
      </c>
      <c r="M2" s="1040" t="s">
        <v>102</v>
      </c>
      <c r="N2" s="1038" t="s">
        <v>103</v>
      </c>
      <c r="O2" s="1082" t="s">
        <v>521</v>
      </c>
    </row>
    <row r="3" spans="1:15" ht="25.5">
      <c r="A3" s="1041" t="s">
        <v>68</v>
      </c>
      <c r="B3" s="1083" t="s">
        <v>522</v>
      </c>
      <c r="C3" s="1073" t="s">
        <v>238</v>
      </c>
      <c r="D3" s="1074" t="s">
        <v>8</v>
      </c>
      <c r="E3" s="1064" t="s">
        <v>12</v>
      </c>
      <c r="F3" s="1073" t="s">
        <v>13</v>
      </c>
      <c r="G3" s="1074" t="s">
        <v>14</v>
      </c>
      <c r="H3" s="1064" t="s">
        <v>523</v>
      </c>
      <c r="I3" s="1073" t="s">
        <v>523</v>
      </c>
      <c r="J3" s="1073" t="s">
        <v>523</v>
      </c>
      <c r="K3" s="1073" t="s">
        <v>523</v>
      </c>
      <c r="L3" s="1073" t="s">
        <v>523</v>
      </c>
      <c r="M3" s="1073" t="s">
        <v>523</v>
      </c>
      <c r="N3" s="1074" t="s">
        <v>523</v>
      </c>
      <c r="O3" s="1088" t="s">
        <v>523</v>
      </c>
    </row>
    <row r="4" spans="1:15">
      <c r="A4" s="1061" t="s">
        <v>524</v>
      </c>
      <c r="B4" s="1042"/>
      <c r="C4" s="1065"/>
      <c r="D4" s="1066"/>
      <c r="E4" s="1067"/>
      <c r="F4" s="1065"/>
      <c r="G4" s="1068"/>
      <c r="H4" s="1066"/>
      <c r="I4" s="1065"/>
      <c r="J4" s="1065"/>
      <c r="K4" s="1065"/>
      <c r="L4" s="1065"/>
      <c r="M4" s="1065"/>
      <c r="N4" s="1068"/>
      <c r="O4" s="1080"/>
    </row>
    <row r="5" spans="1:15">
      <c r="A5" s="1060" t="s">
        <v>525</v>
      </c>
      <c r="B5" s="1042">
        <v>2</v>
      </c>
      <c r="C5" s="1069"/>
      <c r="D5" s="1070"/>
      <c r="E5" s="1071"/>
      <c r="F5" s="1069"/>
      <c r="G5" s="1072"/>
      <c r="H5" s="1070"/>
      <c r="I5" s="1069"/>
      <c r="J5" s="1069"/>
      <c r="K5" s="1069"/>
      <c r="L5" s="1069"/>
      <c r="M5" s="1069"/>
      <c r="N5" s="1072"/>
      <c r="O5" s="1084"/>
    </row>
    <row r="6" spans="1:15">
      <c r="A6" s="1098" t="s">
        <v>526</v>
      </c>
      <c r="B6" s="1042"/>
      <c r="C6" s="1099"/>
      <c r="D6" s="1100"/>
      <c r="E6" s="1101"/>
      <c r="F6" s="1099"/>
      <c r="G6" s="1102"/>
      <c r="H6" s="1100"/>
      <c r="I6" s="1099"/>
      <c r="J6" s="1099"/>
      <c r="K6" s="1099"/>
      <c r="L6" s="1099"/>
      <c r="M6" s="1099"/>
      <c r="N6" s="1102"/>
      <c r="O6" s="1081">
        <v>0</v>
      </c>
    </row>
    <row r="7" spans="1:15">
      <c r="A7" s="1098" t="s">
        <v>527</v>
      </c>
      <c r="B7" s="1042"/>
      <c r="C7" s="1094"/>
      <c r="D7" s="1097"/>
      <c r="E7" s="1096"/>
      <c r="F7" s="1094"/>
      <c r="G7" s="1095"/>
      <c r="H7" s="1097"/>
      <c r="I7" s="1094"/>
      <c r="J7" s="1094"/>
      <c r="K7" s="1094"/>
      <c r="L7" s="1094"/>
      <c r="M7" s="1094"/>
      <c r="N7" s="1095"/>
      <c r="O7" s="1081">
        <v>0</v>
      </c>
    </row>
    <row r="8" spans="1:15">
      <c r="A8" s="1098" t="s">
        <v>528</v>
      </c>
      <c r="B8" s="1042"/>
      <c r="C8" s="1090"/>
      <c r="D8" s="1093"/>
      <c r="E8" s="1092"/>
      <c r="F8" s="1090"/>
      <c r="G8" s="1091"/>
      <c r="H8" s="1093"/>
      <c r="I8" s="1090"/>
      <c r="J8" s="1090"/>
      <c r="K8" s="1090"/>
      <c r="L8" s="1090"/>
      <c r="M8" s="1090"/>
      <c r="N8" s="1091"/>
      <c r="O8" s="1081">
        <v>0</v>
      </c>
    </row>
    <row r="9" spans="1:15">
      <c r="A9" s="1061" t="s">
        <v>529</v>
      </c>
      <c r="B9" s="1042"/>
      <c r="C9" s="1048">
        <v>0</v>
      </c>
      <c r="D9" s="1047">
        <v>0</v>
      </c>
      <c r="E9" s="1050">
        <v>0</v>
      </c>
      <c r="F9" s="1048">
        <v>0</v>
      </c>
      <c r="G9" s="1049">
        <v>0</v>
      </c>
      <c r="H9" s="1047">
        <v>0</v>
      </c>
      <c r="I9" s="1048">
        <v>0</v>
      </c>
      <c r="J9" s="1048">
        <v>0</v>
      </c>
      <c r="K9" s="1048">
        <v>0</v>
      </c>
      <c r="L9" s="1048">
        <v>0</v>
      </c>
      <c r="M9" s="1048">
        <v>0</v>
      </c>
      <c r="N9" s="1049">
        <v>0</v>
      </c>
      <c r="O9" s="1085">
        <v>0</v>
      </c>
    </row>
    <row r="10" spans="1:15">
      <c r="A10" s="1062"/>
      <c r="B10" s="1042"/>
      <c r="C10" s="1044"/>
      <c r="D10" s="1043"/>
      <c r="E10" s="1046"/>
      <c r="F10" s="1044"/>
      <c r="G10" s="1045"/>
      <c r="H10" s="1043"/>
      <c r="I10" s="1044"/>
      <c r="J10" s="1044"/>
      <c r="K10" s="1044"/>
      <c r="L10" s="1044"/>
      <c r="M10" s="1044"/>
      <c r="N10" s="1045"/>
      <c r="O10" s="1081"/>
    </row>
    <row r="11" spans="1:15">
      <c r="A11" s="1060" t="s">
        <v>530</v>
      </c>
      <c r="B11" s="1042">
        <v>2</v>
      </c>
      <c r="C11" s="1044"/>
      <c r="D11" s="1043"/>
      <c r="E11" s="1046"/>
      <c r="F11" s="1044"/>
      <c r="G11" s="1045"/>
      <c r="H11" s="1043"/>
      <c r="I11" s="1044"/>
      <c r="J11" s="1044"/>
      <c r="K11" s="1044"/>
      <c r="L11" s="1044"/>
      <c r="M11" s="1044"/>
      <c r="N11" s="1045"/>
      <c r="O11" s="1081"/>
    </row>
    <row r="12" spans="1:15">
      <c r="A12" s="1098" t="s">
        <v>526</v>
      </c>
      <c r="B12" s="1042"/>
      <c r="C12" s="1090"/>
      <c r="D12" s="1093"/>
      <c r="E12" s="1092"/>
      <c r="F12" s="1090"/>
      <c r="G12" s="1091"/>
      <c r="H12" s="1093"/>
      <c r="I12" s="1090"/>
      <c r="J12" s="1090"/>
      <c r="K12" s="1090"/>
      <c r="L12" s="1090"/>
      <c r="M12" s="1090"/>
      <c r="N12" s="1091"/>
      <c r="O12" s="1081">
        <v>0</v>
      </c>
    </row>
    <row r="13" spans="1:15">
      <c r="A13" s="1098" t="s">
        <v>527</v>
      </c>
      <c r="B13" s="1042"/>
      <c r="C13" s="1090"/>
      <c r="D13" s="1093"/>
      <c r="E13" s="1092"/>
      <c r="F13" s="1090"/>
      <c r="G13" s="1091"/>
      <c r="H13" s="1093"/>
      <c r="I13" s="1090"/>
      <c r="J13" s="1090"/>
      <c r="K13" s="1090"/>
      <c r="L13" s="1090"/>
      <c r="M13" s="1090"/>
      <c r="N13" s="1091"/>
      <c r="O13" s="1081">
        <v>0</v>
      </c>
    </row>
    <row r="14" spans="1:15">
      <c r="A14" s="1098" t="s">
        <v>528</v>
      </c>
      <c r="B14" s="1042"/>
      <c r="C14" s="1090"/>
      <c r="D14" s="1093"/>
      <c r="E14" s="1092"/>
      <c r="F14" s="1090"/>
      <c r="G14" s="1091"/>
      <c r="H14" s="1093"/>
      <c r="I14" s="1090"/>
      <c r="J14" s="1090"/>
      <c r="K14" s="1090"/>
      <c r="L14" s="1090"/>
      <c r="M14" s="1090"/>
      <c r="N14" s="1091"/>
      <c r="O14" s="1081">
        <v>0</v>
      </c>
    </row>
    <row r="15" spans="1:15">
      <c r="A15" s="1061" t="s">
        <v>531</v>
      </c>
      <c r="B15" s="1042"/>
      <c r="C15" s="1075">
        <v>0</v>
      </c>
      <c r="D15" s="1078">
        <v>0</v>
      </c>
      <c r="E15" s="1077">
        <v>0</v>
      </c>
      <c r="F15" s="1075">
        <v>0</v>
      </c>
      <c r="G15" s="1076">
        <v>0</v>
      </c>
      <c r="H15" s="1078">
        <v>0</v>
      </c>
      <c r="I15" s="1075">
        <v>0</v>
      </c>
      <c r="J15" s="1075">
        <v>0</v>
      </c>
      <c r="K15" s="1075">
        <v>0</v>
      </c>
      <c r="L15" s="1075">
        <v>0</v>
      </c>
      <c r="M15" s="1075">
        <v>0</v>
      </c>
      <c r="N15" s="1076">
        <v>0</v>
      </c>
      <c r="O15" s="1085">
        <v>0</v>
      </c>
    </row>
    <row r="16" spans="1:15">
      <c r="A16" s="1062"/>
      <c r="B16" s="1042"/>
      <c r="C16" s="1044"/>
      <c r="D16" s="1043"/>
      <c r="E16" s="1046"/>
      <c r="F16" s="1044"/>
      <c r="G16" s="1045"/>
      <c r="H16" s="1043"/>
      <c r="I16" s="1044"/>
      <c r="J16" s="1044"/>
      <c r="K16" s="1044"/>
      <c r="L16" s="1044"/>
      <c r="M16" s="1044"/>
      <c r="N16" s="1045"/>
      <c r="O16" s="1081"/>
    </row>
    <row r="17" spans="1:15">
      <c r="A17" s="1060" t="s">
        <v>532</v>
      </c>
      <c r="B17" s="1042">
        <v>2</v>
      </c>
      <c r="C17" s="1052"/>
      <c r="D17" s="1051"/>
      <c r="E17" s="1054"/>
      <c r="F17" s="1052"/>
      <c r="G17" s="1053"/>
      <c r="H17" s="1051"/>
      <c r="I17" s="1052"/>
      <c r="J17" s="1052"/>
      <c r="K17" s="1052"/>
      <c r="L17" s="1052"/>
      <c r="M17" s="1052"/>
      <c r="N17" s="1053"/>
      <c r="O17" s="1081"/>
    </row>
    <row r="18" spans="1:15">
      <c r="A18" s="1098" t="s">
        <v>526</v>
      </c>
      <c r="B18" s="1042"/>
      <c r="C18" s="1090"/>
      <c r="D18" s="1093"/>
      <c r="E18" s="1092"/>
      <c r="F18" s="1090"/>
      <c r="G18" s="1091"/>
      <c r="H18" s="1093"/>
      <c r="I18" s="1090"/>
      <c r="J18" s="1090"/>
      <c r="K18" s="1090"/>
      <c r="L18" s="1090"/>
      <c r="M18" s="1090"/>
      <c r="N18" s="1091"/>
      <c r="O18" s="1081">
        <v>0</v>
      </c>
    </row>
    <row r="19" spans="1:15">
      <c r="A19" s="1098" t="s">
        <v>527</v>
      </c>
      <c r="B19" s="1042"/>
      <c r="C19" s="1090"/>
      <c r="D19" s="1093"/>
      <c r="E19" s="1092"/>
      <c r="F19" s="1090"/>
      <c r="G19" s="1091"/>
      <c r="H19" s="1093"/>
      <c r="I19" s="1090"/>
      <c r="J19" s="1090"/>
      <c r="K19" s="1090"/>
      <c r="L19" s="1090"/>
      <c r="M19" s="1090"/>
      <c r="N19" s="1091"/>
      <c r="O19" s="1081">
        <v>0</v>
      </c>
    </row>
    <row r="20" spans="1:15">
      <c r="A20" s="1098" t="s">
        <v>528</v>
      </c>
      <c r="B20" s="1042"/>
      <c r="C20" s="1090"/>
      <c r="D20" s="1093"/>
      <c r="E20" s="1092"/>
      <c r="F20" s="1090"/>
      <c r="G20" s="1091"/>
      <c r="H20" s="1093"/>
      <c r="I20" s="1090"/>
      <c r="J20" s="1090"/>
      <c r="K20" s="1090"/>
      <c r="L20" s="1090"/>
      <c r="M20" s="1090"/>
      <c r="N20" s="1091"/>
      <c r="O20" s="1081">
        <v>0</v>
      </c>
    </row>
    <row r="21" spans="1:15">
      <c r="A21" s="1061" t="s">
        <v>533</v>
      </c>
      <c r="B21" s="1042"/>
      <c r="C21" s="1075">
        <v>0</v>
      </c>
      <c r="D21" s="1078">
        <v>0</v>
      </c>
      <c r="E21" s="1077">
        <v>0</v>
      </c>
      <c r="F21" s="1075">
        <v>0</v>
      </c>
      <c r="G21" s="1076">
        <v>0</v>
      </c>
      <c r="H21" s="1078">
        <v>0</v>
      </c>
      <c r="I21" s="1075">
        <v>0</v>
      </c>
      <c r="J21" s="1075">
        <v>0</v>
      </c>
      <c r="K21" s="1075">
        <v>0</v>
      </c>
      <c r="L21" s="1075">
        <v>0</v>
      </c>
      <c r="M21" s="1075">
        <v>0</v>
      </c>
      <c r="N21" s="1076">
        <v>0</v>
      </c>
      <c r="O21" s="1085">
        <v>0</v>
      </c>
    </row>
    <row r="22" spans="1:15">
      <c r="A22" s="1062"/>
      <c r="B22" s="1042"/>
      <c r="C22" s="1044"/>
      <c r="D22" s="1043"/>
      <c r="E22" s="1046"/>
      <c r="F22" s="1044"/>
      <c r="G22" s="1045"/>
      <c r="H22" s="1043"/>
      <c r="I22" s="1044"/>
      <c r="J22" s="1044"/>
      <c r="K22" s="1044"/>
      <c r="L22" s="1044"/>
      <c r="M22" s="1044"/>
      <c r="N22" s="1045"/>
      <c r="O22" s="1081"/>
    </row>
    <row r="23" spans="1:15">
      <c r="A23" s="1063" t="s">
        <v>534</v>
      </c>
      <c r="B23" s="1055"/>
      <c r="C23" s="1058">
        <v>0</v>
      </c>
      <c r="D23" s="1059">
        <v>0</v>
      </c>
      <c r="E23" s="1057">
        <v>0</v>
      </c>
      <c r="F23" s="1058">
        <v>0</v>
      </c>
      <c r="G23" s="1056">
        <v>0</v>
      </c>
      <c r="H23" s="1059">
        <v>0</v>
      </c>
      <c r="I23" s="1058">
        <v>0</v>
      </c>
      <c r="J23" s="1058">
        <v>0</v>
      </c>
      <c r="K23" s="1058">
        <v>0</v>
      </c>
      <c r="L23" s="1058">
        <v>0</v>
      </c>
      <c r="M23" s="1058">
        <v>0</v>
      </c>
      <c r="N23" s="1056">
        <v>0</v>
      </c>
      <c r="O23" s="1086">
        <v>0</v>
      </c>
    </row>
    <row r="24" spans="1:15">
      <c r="A24" s="1060"/>
      <c r="B24" s="1042"/>
      <c r="C24" s="1069"/>
      <c r="D24" s="1070"/>
      <c r="E24" s="1071"/>
      <c r="F24" s="1069"/>
      <c r="G24" s="1072"/>
      <c r="H24" s="1070"/>
      <c r="I24" s="1069"/>
      <c r="J24" s="1069"/>
      <c r="K24" s="1069"/>
      <c r="L24" s="1069"/>
      <c r="M24" s="1069"/>
      <c r="N24" s="1072"/>
      <c r="O24" s="1084"/>
    </row>
    <row r="25" spans="1:15">
      <c r="A25" s="1061" t="s">
        <v>499</v>
      </c>
      <c r="B25" s="1042"/>
      <c r="C25" s="1069"/>
      <c r="D25" s="1070"/>
      <c r="E25" s="1071"/>
      <c r="F25" s="1069"/>
      <c r="G25" s="1072"/>
      <c r="H25" s="1070"/>
      <c r="I25" s="1069"/>
      <c r="J25" s="1069"/>
      <c r="K25" s="1069"/>
      <c r="L25" s="1069"/>
      <c r="M25" s="1069"/>
      <c r="N25" s="1072"/>
      <c r="O25" s="1084"/>
    </row>
    <row r="26" spans="1:15">
      <c r="A26" s="1060" t="s">
        <v>525</v>
      </c>
      <c r="B26" s="1042">
        <v>2</v>
      </c>
      <c r="C26" s="1069"/>
      <c r="D26" s="1070"/>
      <c r="E26" s="1071"/>
      <c r="F26" s="1069"/>
      <c r="G26" s="1072"/>
      <c r="H26" s="1070"/>
      <c r="I26" s="1069"/>
      <c r="J26" s="1069"/>
      <c r="K26" s="1069"/>
      <c r="L26" s="1069"/>
      <c r="M26" s="1069"/>
      <c r="N26" s="1072"/>
      <c r="O26" s="1084"/>
    </row>
    <row r="27" spans="1:15">
      <c r="A27" s="1098" t="s">
        <v>526</v>
      </c>
      <c r="B27" s="1042"/>
      <c r="C27" s="1099"/>
      <c r="D27" s="1100"/>
      <c r="E27" s="1101"/>
      <c r="F27" s="1099"/>
      <c r="G27" s="1102"/>
      <c r="H27" s="1100"/>
      <c r="I27" s="1099"/>
      <c r="J27" s="1099"/>
      <c r="K27" s="1099"/>
      <c r="L27" s="1099"/>
      <c r="M27" s="1099"/>
      <c r="N27" s="1102"/>
      <c r="O27" s="1081">
        <v>0</v>
      </c>
    </row>
    <row r="28" spans="1:15">
      <c r="A28" s="1098" t="s">
        <v>527</v>
      </c>
      <c r="B28" s="1042"/>
      <c r="C28" s="1094"/>
      <c r="D28" s="1097"/>
      <c r="E28" s="1096"/>
      <c r="F28" s="1094"/>
      <c r="G28" s="1095"/>
      <c r="H28" s="1097"/>
      <c r="I28" s="1094"/>
      <c r="J28" s="1094"/>
      <c r="K28" s="1094"/>
      <c r="L28" s="1094"/>
      <c r="M28" s="1094"/>
      <c r="N28" s="1095"/>
      <c r="O28" s="1081">
        <v>0</v>
      </c>
    </row>
    <row r="29" spans="1:15">
      <c r="A29" s="1098" t="s">
        <v>528</v>
      </c>
      <c r="B29" s="1042"/>
      <c r="C29" s="1090"/>
      <c r="D29" s="1093"/>
      <c r="E29" s="1092"/>
      <c r="F29" s="1090"/>
      <c r="G29" s="1091"/>
      <c r="H29" s="1093"/>
      <c r="I29" s="1090"/>
      <c r="J29" s="1090"/>
      <c r="K29" s="1090"/>
      <c r="L29" s="1090"/>
      <c r="M29" s="1090"/>
      <c r="N29" s="1091"/>
      <c r="O29" s="1081">
        <v>0</v>
      </c>
    </row>
    <row r="30" spans="1:15">
      <c r="A30" s="1061" t="s">
        <v>529</v>
      </c>
      <c r="B30" s="1042"/>
      <c r="C30" s="1048">
        <v>0</v>
      </c>
      <c r="D30" s="1047">
        <v>0</v>
      </c>
      <c r="E30" s="1050">
        <v>0</v>
      </c>
      <c r="F30" s="1048">
        <v>0</v>
      </c>
      <c r="G30" s="1049">
        <v>0</v>
      </c>
      <c r="H30" s="1047">
        <v>0</v>
      </c>
      <c r="I30" s="1048">
        <v>0</v>
      </c>
      <c r="J30" s="1048">
        <v>0</v>
      </c>
      <c r="K30" s="1048">
        <v>0</v>
      </c>
      <c r="L30" s="1048">
        <v>0</v>
      </c>
      <c r="M30" s="1048">
        <v>0</v>
      </c>
      <c r="N30" s="1049">
        <v>0</v>
      </c>
      <c r="O30" s="1085">
        <v>0</v>
      </c>
    </row>
    <row r="31" spans="1:15">
      <c r="A31" s="1062"/>
      <c r="B31" s="1042"/>
      <c r="C31" s="1044"/>
      <c r="D31" s="1043"/>
      <c r="E31" s="1046"/>
      <c r="F31" s="1044"/>
      <c r="G31" s="1045"/>
      <c r="H31" s="1043"/>
      <c r="I31" s="1044"/>
      <c r="J31" s="1044"/>
      <c r="K31" s="1044"/>
      <c r="L31" s="1044"/>
      <c r="M31" s="1044"/>
      <c r="N31" s="1045"/>
      <c r="O31" s="1081"/>
    </row>
    <row r="32" spans="1:15">
      <c r="A32" s="1060" t="s">
        <v>530</v>
      </c>
      <c r="B32" s="1042">
        <v>2</v>
      </c>
      <c r="C32" s="1044"/>
      <c r="D32" s="1043"/>
      <c r="E32" s="1046"/>
      <c r="F32" s="1044"/>
      <c r="G32" s="1045"/>
      <c r="H32" s="1043"/>
      <c r="I32" s="1044"/>
      <c r="J32" s="1044"/>
      <c r="K32" s="1044"/>
      <c r="L32" s="1044"/>
      <c r="M32" s="1044"/>
      <c r="N32" s="1045"/>
      <c r="O32" s="1081"/>
    </row>
    <row r="33" spans="1:15">
      <c r="A33" s="1098" t="s">
        <v>526</v>
      </c>
      <c r="B33" s="1042"/>
      <c r="C33" s="1090"/>
      <c r="D33" s="1093"/>
      <c r="E33" s="1092"/>
      <c r="F33" s="1090"/>
      <c r="G33" s="1091"/>
      <c r="H33" s="1093"/>
      <c r="I33" s="1090"/>
      <c r="J33" s="1090"/>
      <c r="K33" s="1090"/>
      <c r="L33" s="1090"/>
      <c r="M33" s="1090"/>
      <c r="N33" s="1091"/>
      <c r="O33" s="1081">
        <v>0</v>
      </c>
    </row>
    <row r="34" spans="1:15">
      <c r="A34" s="1098" t="s">
        <v>527</v>
      </c>
      <c r="B34" s="1042"/>
      <c r="C34" s="1090"/>
      <c r="D34" s="1093"/>
      <c r="E34" s="1092"/>
      <c r="F34" s="1090"/>
      <c r="G34" s="1091"/>
      <c r="H34" s="1093"/>
      <c r="I34" s="1090"/>
      <c r="J34" s="1090"/>
      <c r="K34" s="1090"/>
      <c r="L34" s="1090"/>
      <c r="M34" s="1090"/>
      <c r="N34" s="1091"/>
      <c r="O34" s="1081">
        <v>0</v>
      </c>
    </row>
    <row r="35" spans="1:15">
      <c r="A35" s="1098" t="s">
        <v>528</v>
      </c>
      <c r="B35" s="1042"/>
      <c r="C35" s="1090"/>
      <c r="D35" s="1093"/>
      <c r="E35" s="1092"/>
      <c r="F35" s="1090"/>
      <c r="G35" s="1091"/>
      <c r="H35" s="1093"/>
      <c r="I35" s="1090"/>
      <c r="J35" s="1090"/>
      <c r="K35" s="1090"/>
      <c r="L35" s="1090"/>
      <c r="M35" s="1090"/>
      <c r="N35" s="1091"/>
      <c r="O35" s="1081">
        <v>0</v>
      </c>
    </row>
    <row r="36" spans="1:15">
      <c r="A36" s="1061" t="s">
        <v>531</v>
      </c>
      <c r="B36" s="1042"/>
      <c r="C36" s="1075">
        <v>0</v>
      </c>
      <c r="D36" s="1078">
        <v>0</v>
      </c>
      <c r="E36" s="1077">
        <v>0</v>
      </c>
      <c r="F36" s="1075">
        <v>0</v>
      </c>
      <c r="G36" s="1076">
        <v>0</v>
      </c>
      <c r="H36" s="1078">
        <v>0</v>
      </c>
      <c r="I36" s="1075">
        <v>0</v>
      </c>
      <c r="J36" s="1075">
        <v>0</v>
      </c>
      <c r="K36" s="1075">
        <v>0</v>
      </c>
      <c r="L36" s="1075">
        <v>0</v>
      </c>
      <c r="M36" s="1075">
        <v>0</v>
      </c>
      <c r="N36" s="1076">
        <v>0</v>
      </c>
      <c r="O36" s="1085">
        <v>0</v>
      </c>
    </row>
    <row r="37" spans="1:15">
      <c r="A37" s="1062"/>
      <c r="B37" s="1042"/>
      <c r="C37" s="1044"/>
      <c r="D37" s="1043"/>
      <c r="E37" s="1046"/>
      <c r="F37" s="1044"/>
      <c r="G37" s="1045"/>
      <c r="H37" s="1043"/>
      <c r="I37" s="1044"/>
      <c r="J37" s="1044"/>
      <c r="K37" s="1044"/>
      <c r="L37" s="1044"/>
      <c r="M37" s="1044"/>
      <c r="N37" s="1045"/>
      <c r="O37" s="1089"/>
    </row>
    <row r="38" spans="1:15">
      <c r="A38" s="1060" t="s">
        <v>532</v>
      </c>
      <c r="B38" s="1042">
        <v>2</v>
      </c>
      <c r="C38" s="1052"/>
      <c r="D38" s="1051"/>
      <c r="E38" s="1054"/>
      <c r="F38" s="1052"/>
      <c r="G38" s="1053"/>
      <c r="H38" s="1051"/>
      <c r="I38" s="1052"/>
      <c r="J38" s="1052"/>
      <c r="K38" s="1052"/>
      <c r="L38" s="1052"/>
      <c r="M38" s="1052"/>
      <c r="N38" s="1053"/>
      <c r="O38" s="1081"/>
    </row>
    <row r="39" spans="1:15">
      <c r="A39" s="1098" t="s">
        <v>526</v>
      </c>
      <c r="B39" s="1042"/>
      <c r="C39" s="1090"/>
      <c r="D39" s="1093"/>
      <c r="E39" s="1092"/>
      <c r="F39" s="1090"/>
      <c r="G39" s="1091"/>
      <c r="H39" s="1093"/>
      <c r="I39" s="1090"/>
      <c r="J39" s="1090"/>
      <c r="K39" s="1090"/>
      <c r="L39" s="1090"/>
      <c r="M39" s="1090"/>
      <c r="N39" s="1091"/>
      <c r="O39" s="1081">
        <v>0</v>
      </c>
    </row>
    <row r="40" spans="1:15">
      <c r="A40" s="1098" t="s">
        <v>527</v>
      </c>
      <c r="B40" s="1042"/>
      <c r="C40" s="1090"/>
      <c r="D40" s="1093"/>
      <c r="E40" s="1092"/>
      <c r="F40" s="1090"/>
      <c r="G40" s="1091"/>
      <c r="H40" s="1093"/>
      <c r="I40" s="1090"/>
      <c r="J40" s="1090"/>
      <c r="K40" s="1090"/>
      <c r="L40" s="1090"/>
      <c r="M40" s="1090"/>
      <c r="N40" s="1091"/>
      <c r="O40" s="1081">
        <v>0</v>
      </c>
    </row>
    <row r="41" spans="1:15">
      <c r="A41" s="1098" t="s">
        <v>528</v>
      </c>
      <c r="B41" s="1042"/>
      <c r="C41" s="1090"/>
      <c r="D41" s="1093"/>
      <c r="E41" s="1092"/>
      <c r="F41" s="1090"/>
      <c r="G41" s="1091"/>
      <c r="H41" s="1093"/>
      <c r="I41" s="1090"/>
      <c r="J41" s="1090"/>
      <c r="K41" s="1090"/>
      <c r="L41" s="1090"/>
      <c r="M41" s="1090"/>
      <c r="N41" s="1091"/>
      <c r="O41" s="1081">
        <v>0</v>
      </c>
    </row>
    <row r="42" spans="1:15">
      <c r="A42" s="1061" t="s">
        <v>533</v>
      </c>
      <c r="B42" s="1042"/>
      <c r="C42" s="1075">
        <v>0</v>
      </c>
      <c r="D42" s="1078">
        <v>0</v>
      </c>
      <c r="E42" s="1077">
        <v>0</v>
      </c>
      <c r="F42" s="1075">
        <v>0</v>
      </c>
      <c r="G42" s="1076">
        <v>0</v>
      </c>
      <c r="H42" s="1078">
        <v>0</v>
      </c>
      <c r="I42" s="1075">
        <v>0</v>
      </c>
      <c r="J42" s="1075">
        <v>0</v>
      </c>
      <c r="K42" s="1075">
        <v>0</v>
      </c>
      <c r="L42" s="1075">
        <v>0</v>
      </c>
      <c r="M42" s="1075">
        <v>0</v>
      </c>
      <c r="N42" s="1076">
        <v>0</v>
      </c>
      <c r="O42" s="1085">
        <v>0</v>
      </c>
    </row>
    <row r="43" spans="1:15">
      <c r="A43" s="1062"/>
      <c r="B43" s="1042"/>
      <c r="C43" s="1044"/>
      <c r="D43" s="1043"/>
      <c r="E43" s="1046"/>
      <c r="F43" s="1044"/>
      <c r="G43" s="1045"/>
      <c r="H43" s="1043"/>
      <c r="I43" s="1044"/>
      <c r="J43" s="1044"/>
      <c r="K43" s="1044"/>
      <c r="L43" s="1044"/>
      <c r="M43" s="1044"/>
      <c r="N43" s="1045"/>
      <c r="O43" s="1081"/>
    </row>
    <row r="44" spans="1:15">
      <c r="A44" s="1063" t="s">
        <v>535</v>
      </c>
      <c r="B44" s="1055"/>
      <c r="C44" s="1058">
        <v>0</v>
      </c>
      <c r="D44" s="1059">
        <v>0</v>
      </c>
      <c r="E44" s="1057">
        <v>0</v>
      </c>
      <c r="F44" s="1058">
        <v>0</v>
      </c>
      <c r="G44" s="1056">
        <v>0</v>
      </c>
      <c r="H44" s="1059">
        <v>0</v>
      </c>
      <c r="I44" s="1058">
        <v>0</v>
      </c>
      <c r="J44" s="1058">
        <v>0</v>
      </c>
      <c r="K44" s="1058">
        <v>0</v>
      </c>
      <c r="L44" s="1058">
        <v>0</v>
      </c>
      <c r="M44" s="1058">
        <v>0</v>
      </c>
      <c r="N44" s="1056">
        <v>0</v>
      </c>
      <c r="O44" s="1086">
        <v>0</v>
      </c>
    </row>
  </sheetData>
  <mergeCells count="1">
    <mergeCell ref="E2:G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A1</vt:lpstr>
      <vt:lpstr>table A2</vt:lpstr>
      <vt:lpstr>table A3</vt:lpstr>
      <vt:lpstr>table A4</vt:lpstr>
      <vt:lpstr>table A5</vt:lpstr>
      <vt:lpstr>table A6</vt:lpstr>
      <vt:lpstr>table A7</vt:lpstr>
      <vt:lpstr>table A8</vt:lpstr>
      <vt:lpstr>table A9</vt:lpstr>
      <vt:lpstr>table A10</vt:lpstr>
      <vt:lpstr>table SA2</vt:lpstr>
      <vt:lpstr>table SA18</vt:lpstr>
      <vt:lpstr>table SA19</vt:lpstr>
      <vt:lpstr>table SA21</vt:lpstr>
      <vt:lpstr>table SA34a</vt:lpstr>
      <vt:lpstr>table SA34b</vt:lpstr>
      <vt:lpstr>table SA34c</vt:lpstr>
      <vt:lpstr>table SA36</vt:lpstr>
      <vt:lpstr>table SA37</vt:lpstr>
      <vt:lpstr>table SA33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heleenn</dc:creator>
  <cp:lastModifiedBy>heleenn</cp:lastModifiedBy>
  <dcterms:created xsi:type="dcterms:W3CDTF">2012-04-10T11:29:22Z</dcterms:created>
  <dcterms:modified xsi:type="dcterms:W3CDTF">2012-06-08T09:20:43Z</dcterms:modified>
</cp:coreProperties>
</file>